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010" yWindow="-15" windowWidth="13005" windowHeight="10290" tabRatio="688" activeTab="1"/>
  </bookViews>
  <sheets>
    <sheet name="Zał.1_WPF_bazowy" sheetId="12" r:id="rId1"/>
    <sheet name="iNFORMACJA O KSZTAŁT. WPF" sheetId="17" r:id="rId2"/>
    <sheet name="definicja" sheetId="8" state="hidden" r:id="rId3"/>
    <sheet name="DaneZrodlowe" sheetId="9" state="hidden" r:id="rId4"/>
    <sheet name="DaneZrodloweDoWsk" sheetId="15" state="hidden" r:id="rId5"/>
  </sheets>
  <definedNames>
    <definedName name="_xlnm._FilterDatabase" localSheetId="1" hidden="1">'iNFORMACJA O KSZTAŁT. WPF'!$A$2:$A$97</definedName>
    <definedName name="_xlnm._FilterDatabase" localSheetId="0" hidden="1">Zał.1_WPF_bazowy!$A$1:$A$96</definedName>
    <definedName name="_xlnm.Print_Area" localSheetId="0">Zał.1_WPF_bazowy!$B$1:$H$96</definedName>
    <definedName name="_xlnm.Print_Titles" localSheetId="1">'iNFORMACJA O KSZTAŁT. WPF'!$B:$D,'iNFORMACJA O KSZTAŁT. WPF'!$1:$2</definedName>
    <definedName name="_xlnm.Print_Titles" localSheetId="0">Zał.1_WPF_bazowy!$B:$D,Zał.1_WPF_bazowy!$1:$1</definedName>
  </definedNames>
  <calcPr calcId="125725"/>
  <fileRecoveryPr autoRecover="0"/>
</workbook>
</file>

<file path=xl/calcChain.xml><?xml version="1.0" encoding="utf-8"?>
<calcChain xmlns="http://schemas.openxmlformats.org/spreadsheetml/2006/main">
  <c r="G63" i="17"/>
  <c r="G55"/>
  <c r="G54"/>
  <c r="E55"/>
  <c r="E54"/>
  <c r="F55"/>
  <c r="F54"/>
  <c r="E11"/>
  <c r="F4" i="12"/>
  <c r="E97" i="17"/>
  <c r="E96"/>
  <c r="E95"/>
  <c r="E94"/>
  <c r="E93"/>
  <c r="E92"/>
  <c r="E89"/>
  <c r="E88"/>
  <c r="E87"/>
  <c r="E86"/>
  <c r="E85"/>
  <c r="E84"/>
  <c r="E72"/>
  <c r="E71"/>
  <c r="E63"/>
  <c r="E59"/>
  <c r="E58"/>
  <c r="E51"/>
  <c r="E42"/>
  <c r="E39"/>
  <c r="E38"/>
  <c r="E36"/>
  <c r="E35"/>
  <c r="E34"/>
  <c r="E31"/>
  <c r="E30"/>
  <c r="E27"/>
  <c r="E26"/>
  <c r="E25"/>
  <c r="E24"/>
  <c r="E23" s="1"/>
  <c r="E18"/>
  <c r="E17"/>
  <c r="E16"/>
  <c r="E45"/>
  <c r="H96" i="12"/>
  <c r="H95"/>
  <c r="H94"/>
  <c r="H93"/>
  <c r="H92"/>
  <c r="H91"/>
  <c r="H90"/>
  <c r="H88"/>
  <c r="H87"/>
  <c r="H86"/>
  <c r="H85"/>
  <c r="H84"/>
  <c r="H83"/>
  <c r="H82"/>
  <c r="H80"/>
  <c r="H79"/>
  <c r="H78"/>
  <c r="H77"/>
  <c r="H76"/>
  <c r="H75"/>
  <c r="H74"/>
  <c r="H73"/>
  <c r="H72"/>
  <c r="H71"/>
  <c r="H70"/>
  <c r="H69"/>
  <c r="H67"/>
  <c r="H66"/>
  <c r="H65"/>
  <c r="H64"/>
  <c r="H63"/>
  <c r="H62"/>
  <c r="H61"/>
  <c r="H60"/>
  <c r="H58"/>
  <c r="H57"/>
  <c r="H54"/>
  <c r="H53"/>
  <c r="H51"/>
  <c r="H50"/>
  <c r="H49"/>
  <c r="H48"/>
  <c r="H47"/>
  <c r="H46"/>
  <c r="H44"/>
  <c r="H4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96"/>
  <c r="G95"/>
  <c r="G94"/>
  <c r="G93"/>
  <c r="G92"/>
  <c r="G91"/>
  <c r="G90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8"/>
  <c r="G57"/>
  <c r="G54"/>
  <c r="G53"/>
  <c r="G51"/>
  <c r="G50"/>
  <c r="G49"/>
  <c r="G48"/>
  <c r="G47"/>
  <c r="G46"/>
  <c r="G44"/>
  <c r="G43"/>
  <c r="G41"/>
  <c r="G40"/>
  <c r="G39"/>
  <c r="G38"/>
  <c r="G37"/>
  <c r="G36"/>
  <c r="G35"/>
  <c r="G34"/>
  <c r="G33"/>
  <c r="G32"/>
  <c r="G31"/>
  <c r="G30"/>
  <c r="G29"/>
  <c r="G28"/>
  <c r="G27"/>
  <c r="G26"/>
  <c r="G27" i="17" s="1"/>
  <c r="G25" i="1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96"/>
  <c r="F95"/>
  <c r="F94"/>
  <c r="F93"/>
  <c r="F92"/>
  <c r="F91"/>
  <c r="F90"/>
  <c r="F88"/>
  <c r="F87"/>
  <c r="F86"/>
  <c r="F85"/>
  <c r="F84"/>
  <c r="F83"/>
  <c r="F82"/>
  <c r="F80"/>
  <c r="F79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8"/>
  <c r="F57"/>
  <c r="F54"/>
  <c r="F53"/>
  <c r="F51"/>
  <c r="F50"/>
  <c r="F49"/>
  <c r="F48"/>
  <c r="F47"/>
  <c r="F46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"/>
  <c r="F2"/>
  <c r="D56" i="8"/>
  <c r="E56"/>
  <c r="P1" i="9"/>
  <c r="D104" i="8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E10"/>
  <c r="M1" i="15"/>
  <c r="F9" i="8"/>
  <c r="F103"/>
  <c r="E104"/>
  <c r="E103"/>
  <c r="E102"/>
  <c r="E101"/>
  <c r="E100"/>
  <c r="F99"/>
  <c r="E99"/>
  <c r="E98"/>
  <c r="E97"/>
  <c r="E96"/>
  <c r="F95"/>
  <c r="E95"/>
  <c r="F94"/>
  <c r="E94"/>
  <c r="E93"/>
  <c r="E92"/>
  <c r="E91"/>
  <c r="E90"/>
  <c r="E89"/>
  <c r="E88"/>
  <c r="E87"/>
  <c r="E86"/>
  <c r="E85"/>
  <c r="E84"/>
  <c r="E83"/>
  <c r="F82"/>
  <c r="E82"/>
  <c r="E81"/>
  <c r="E80"/>
  <c r="E79"/>
  <c r="F78"/>
  <c r="E78"/>
  <c r="E77"/>
  <c r="E76"/>
  <c r="E75"/>
  <c r="E74"/>
  <c r="E73"/>
  <c r="F72"/>
  <c r="E72"/>
  <c r="F71"/>
  <c r="E71"/>
  <c r="E70"/>
  <c r="E69"/>
  <c r="E68"/>
  <c r="M1" i="9"/>
  <c r="E67" i="8"/>
  <c r="E66"/>
  <c r="E65"/>
  <c r="E64"/>
  <c r="E63"/>
  <c r="E62"/>
  <c r="E61"/>
  <c r="E60"/>
  <c r="F59"/>
  <c r="E59"/>
  <c r="F58"/>
  <c r="E58"/>
  <c r="F57"/>
  <c r="E57"/>
  <c r="F55"/>
  <c r="E55"/>
  <c r="F54"/>
  <c r="E54"/>
  <c r="F53"/>
  <c r="E53"/>
  <c r="F52"/>
  <c r="E52"/>
  <c r="F51"/>
  <c r="E51"/>
  <c r="E50"/>
  <c r="E49"/>
  <c r="E48"/>
  <c r="F47"/>
  <c r="E47"/>
  <c r="E46"/>
  <c r="F45"/>
  <c r="E45"/>
  <c r="E44"/>
  <c r="F43"/>
  <c r="E43"/>
  <c r="E42"/>
  <c r="F41"/>
  <c r="E41"/>
  <c r="E40"/>
  <c r="F39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F19"/>
  <c r="E19"/>
  <c r="E18"/>
  <c r="F17"/>
  <c r="E17"/>
  <c r="E16"/>
  <c r="F15"/>
  <c r="E15"/>
  <c r="F14"/>
  <c r="E14"/>
  <c r="F13"/>
  <c r="E13"/>
  <c r="F12"/>
  <c r="E12"/>
  <c r="F11"/>
  <c r="E11"/>
  <c r="F10"/>
  <c r="F21"/>
  <c r="F23"/>
  <c r="F27"/>
  <c r="F29"/>
  <c r="F31"/>
  <c r="F33"/>
  <c r="F35"/>
  <c r="F37"/>
  <c r="F60"/>
  <c r="F64"/>
  <c r="F66"/>
  <c r="F74"/>
  <c r="F86"/>
  <c r="F88"/>
  <c r="F16"/>
  <c r="F18"/>
  <c r="F22"/>
  <c r="F24"/>
  <c r="F26"/>
  <c r="F28"/>
  <c r="F30"/>
  <c r="F32"/>
  <c r="F34"/>
  <c r="F61"/>
  <c r="F63"/>
  <c r="F65"/>
  <c r="F67"/>
  <c r="F68"/>
  <c r="F87"/>
  <c r="F92"/>
  <c r="F44"/>
  <c r="F46"/>
  <c r="F48"/>
  <c r="F50"/>
  <c r="F83"/>
  <c r="F90"/>
  <c r="F98"/>
  <c r="F38"/>
  <c r="F40"/>
  <c r="F42"/>
  <c r="F76"/>
  <c r="F104"/>
  <c r="F69"/>
  <c r="F77"/>
  <c r="F93"/>
  <c r="F101"/>
  <c r="F73"/>
  <c r="F81"/>
  <c r="F89"/>
  <c r="F97"/>
  <c r="F85"/>
  <c r="G9"/>
  <c r="G56" s="1"/>
  <c r="F100"/>
  <c r="F36"/>
  <c r="F20"/>
  <c r="F62"/>
  <c r="F25"/>
  <c r="F49"/>
  <c r="F79"/>
  <c r="F84"/>
  <c r="F91"/>
  <c r="F96"/>
  <c r="F102"/>
  <c r="F70"/>
  <c r="F75"/>
  <c r="F80"/>
  <c r="G46"/>
  <c r="G18"/>
  <c r="G33"/>
  <c r="G59"/>
  <c r="G73"/>
  <c r="G58"/>
  <c r="G25"/>
  <c r="G39"/>
  <c r="G43"/>
  <c r="G76"/>
  <c r="G12"/>
  <c r="H9"/>
  <c r="G68"/>
  <c r="G99"/>
  <c r="G85"/>
  <c r="G100"/>
  <c r="G77"/>
  <c r="G31"/>
  <c r="G102"/>
  <c r="G101"/>
  <c r="G36"/>
  <c r="G53"/>
  <c r="G80"/>
  <c r="G92"/>
  <c r="G72"/>
  <c r="G19"/>
  <c r="G94"/>
  <c r="G55"/>
  <c r="G67"/>
  <c r="G29"/>
  <c r="G90"/>
  <c r="G28"/>
  <c r="G64"/>
  <c r="G71"/>
  <c r="G65"/>
  <c r="G88"/>
  <c r="G97"/>
  <c r="G70"/>
  <c r="G15"/>
  <c r="G30"/>
  <c r="G17"/>
  <c r="G24"/>
  <c r="G78"/>
  <c r="G22"/>
  <c r="G89"/>
  <c r="G96"/>
  <c r="G63"/>
  <c r="G50"/>
  <c r="G86"/>
  <c r="G52"/>
  <c r="G81"/>
  <c r="G41"/>
  <c r="G104"/>
  <c r="G74"/>
  <c r="G83"/>
  <c r="G21"/>
  <c r="G32"/>
  <c r="G75"/>
  <c r="G69"/>
  <c r="G48"/>
  <c r="G13"/>
  <c r="G14"/>
  <c r="G84"/>
  <c r="G42"/>
  <c r="G44"/>
  <c r="G95"/>
  <c r="G51"/>
  <c r="G49"/>
  <c r="G40"/>
  <c r="G16"/>
  <c r="G103"/>
  <c r="G37"/>
  <c r="G79"/>
  <c r="G38"/>
  <c r="G87"/>
  <c r="G27"/>
  <c r="G98"/>
  <c r="G61"/>
  <c r="G93"/>
  <c r="G34"/>
  <c r="G66"/>
  <c r="G20"/>
  <c r="G60"/>
  <c r="G82"/>
  <c r="G23"/>
  <c r="G26"/>
  <c r="G91"/>
  <c r="G10"/>
  <c r="G35"/>
  <c r="G57"/>
  <c r="G54"/>
  <c r="G62"/>
  <c r="G11"/>
  <c r="G47"/>
  <c r="G45"/>
  <c r="H95"/>
  <c r="H39"/>
  <c r="H68"/>
  <c r="H28"/>
  <c r="H12"/>
  <c r="H25"/>
  <c r="H45"/>
  <c r="H51"/>
  <c r="H75"/>
  <c r="H90"/>
  <c r="H91"/>
  <c r="H89"/>
  <c r="H52"/>
  <c r="H86"/>
  <c r="H63"/>
  <c r="H22"/>
  <c r="H37"/>
  <c r="H84"/>
  <c r="H55"/>
  <c r="H38"/>
  <c r="H42"/>
  <c r="H81"/>
  <c r="H59"/>
  <c r="H78"/>
  <c r="H92"/>
  <c r="H30"/>
  <c r="H64"/>
  <c r="H40"/>
  <c r="H53"/>
  <c r="H54"/>
  <c r="H65"/>
  <c r="H20"/>
  <c r="H31"/>
  <c r="H43"/>
  <c r="H83"/>
  <c r="H13"/>
  <c r="H70"/>
  <c r="H99"/>
  <c r="H80"/>
  <c r="H73"/>
  <c r="H16"/>
  <c r="H11"/>
  <c r="H101"/>
  <c r="H103"/>
  <c r="H100"/>
  <c r="H50"/>
  <c r="H71"/>
  <c r="H61"/>
  <c r="H14"/>
  <c r="H49"/>
  <c r="H48"/>
  <c r="H76"/>
  <c r="H96"/>
  <c r="H57"/>
  <c r="H36"/>
  <c r="H10"/>
  <c r="H47"/>
  <c r="H46"/>
  <c r="I9"/>
  <c r="I56" s="1"/>
  <c r="H104"/>
  <c r="H60"/>
  <c r="H26"/>
  <c r="H29"/>
  <c r="H72"/>
  <c r="H33"/>
  <c r="H69"/>
  <c r="H93"/>
  <c r="H15"/>
  <c r="H23"/>
  <c r="H27"/>
  <c r="H82"/>
  <c r="H87"/>
  <c r="H19"/>
  <c r="H21"/>
  <c r="H94"/>
  <c r="H34"/>
  <c r="H79"/>
  <c r="H67"/>
  <c r="H18"/>
  <c r="H17"/>
  <c r="H102"/>
  <c r="H77"/>
  <c r="H58"/>
  <c r="H41"/>
  <c r="H44"/>
  <c r="H66"/>
  <c r="H88"/>
  <c r="H32"/>
  <c r="H62"/>
  <c r="H35"/>
  <c r="H24"/>
  <c r="H97"/>
  <c r="H85"/>
  <c r="H98"/>
  <c r="H74"/>
  <c r="I94"/>
  <c r="I11"/>
  <c r="J9"/>
  <c r="I53"/>
  <c r="I18"/>
  <c r="I98"/>
  <c r="I75"/>
  <c r="I101"/>
  <c r="I57"/>
  <c r="I78"/>
  <c r="I65"/>
  <c r="I16"/>
  <c r="I42"/>
  <c r="I10"/>
  <c r="I89"/>
  <c r="I67"/>
  <c r="I41"/>
  <c r="I74"/>
  <c r="I29"/>
  <c r="I49"/>
  <c r="I93"/>
  <c r="I102"/>
  <c r="I64"/>
  <c r="I47"/>
  <c r="I25"/>
  <c r="I37"/>
  <c r="I79"/>
  <c r="I82"/>
  <c r="I46"/>
  <c r="I100"/>
  <c r="I35"/>
  <c r="I20"/>
  <c r="I34"/>
  <c r="I95"/>
  <c r="I45"/>
  <c r="I48"/>
  <c r="I99"/>
  <c r="I52"/>
  <c r="I12"/>
  <c r="I92"/>
  <c r="I71"/>
  <c r="I90"/>
  <c r="I54"/>
  <c r="I17"/>
  <c r="I21"/>
  <c r="I77"/>
  <c r="I66"/>
  <c r="I62"/>
  <c r="I81"/>
  <c r="I88"/>
  <c r="I86"/>
  <c r="I58"/>
  <c r="I96"/>
  <c r="I43"/>
  <c r="I60"/>
  <c r="I28"/>
  <c r="I69"/>
  <c r="I80"/>
  <c r="I44"/>
  <c r="I76"/>
  <c r="I19"/>
  <c r="I40"/>
  <c r="I104"/>
  <c r="I26"/>
  <c r="I83"/>
  <c r="I84"/>
  <c r="I50"/>
  <c r="I22"/>
  <c r="I103"/>
  <c r="I39"/>
  <c r="I15"/>
  <c r="I73"/>
  <c r="I27"/>
  <c r="I30"/>
  <c r="I68"/>
  <c r="I38"/>
  <c r="I36"/>
  <c r="I70"/>
  <c r="I63"/>
  <c r="I33"/>
  <c r="I24"/>
  <c r="I32"/>
  <c r="I13"/>
  <c r="I97"/>
  <c r="I55"/>
  <c r="I91"/>
  <c r="I72"/>
  <c r="I61"/>
  <c r="I51"/>
  <c r="I87"/>
  <c r="I59"/>
  <c r="I14"/>
  <c r="I85"/>
  <c r="I23"/>
  <c r="I31"/>
  <c r="J57"/>
  <c r="J13"/>
  <c r="J36"/>
  <c r="J86"/>
  <c r="J37"/>
  <c r="J32"/>
  <c r="J104"/>
  <c r="J41"/>
  <c r="J26"/>
  <c r="J87"/>
  <c r="J78"/>
  <c r="J11"/>
  <c r="J89"/>
  <c r="J39"/>
  <c r="J15"/>
  <c r="J59"/>
  <c r="J92"/>
  <c r="J53"/>
  <c r="J74"/>
  <c r="J45"/>
  <c r="J67"/>
  <c r="J64"/>
  <c r="J75"/>
  <c r="J54"/>
  <c r="J97"/>
  <c r="J50"/>
  <c r="J94"/>
  <c r="J42"/>
  <c r="J21"/>
  <c r="J20"/>
  <c r="J101"/>
  <c r="J49"/>
  <c r="J77"/>
  <c r="J48"/>
  <c r="J30"/>
  <c r="J10"/>
  <c r="J91"/>
  <c r="J98"/>
  <c r="J76"/>
  <c r="J99"/>
  <c r="J23"/>
  <c r="J69"/>
  <c r="J66"/>
  <c r="J25"/>
  <c r="J100"/>
  <c r="J43"/>
  <c r="J44"/>
  <c r="J73"/>
  <c r="J71"/>
  <c r="J58"/>
  <c r="J82"/>
  <c r="J70"/>
  <c r="J38"/>
  <c r="J81"/>
  <c r="J18"/>
  <c r="J34"/>
  <c r="J29"/>
  <c r="J79"/>
  <c r="K9"/>
  <c r="K56" s="1"/>
  <c r="J93"/>
  <c r="J103"/>
  <c r="J72"/>
  <c r="J24"/>
  <c r="J65"/>
  <c r="J60"/>
  <c r="J46"/>
  <c r="J27"/>
  <c r="J61"/>
  <c r="J85"/>
  <c r="J33"/>
  <c r="J16"/>
  <c r="J83"/>
  <c r="J12"/>
  <c r="J31"/>
  <c r="J68"/>
  <c r="J55"/>
  <c r="J96"/>
  <c r="J62"/>
  <c r="J19"/>
  <c r="J90"/>
  <c r="J52"/>
  <c r="J80"/>
  <c r="J102"/>
  <c r="J22"/>
  <c r="J84"/>
  <c r="J14"/>
  <c r="J28"/>
  <c r="J51"/>
  <c r="J95"/>
  <c r="J40"/>
  <c r="J35"/>
  <c r="J88"/>
  <c r="J47"/>
  <c r="J17"/>
  <c r="J63"/>
  <c r="K89"/>
  <c r="K22"/>
  <c r="K43"/>
  <c r="K35"/>
  <c r="K19"/>
  <c r="K20"/>
  <c r="K40"/>
  <c r="K55"/>
  <c r="K11"/>
  <c r="K25"/>
  <c r="K57"/>
  <c r="K28"/>
  <c r="K61"/>
  <c r="K27"/>
  <c r="K92"/>
  <c r="K58"/>
  <c r="K86"/>
  <c r="K77"/>
  <c r="K91"/>
  <c r="K49"/>
  <c r="K102"/>
  <c r="K24"/>
  <c r="K95"/>
  <c r="K29"/>
  <c r="K23"/>
  <c r="K53"/>
  <c r="K69"/>
  <c r="K34"/>
  <c r="K14"/>
  <c r="K103"/>
  <c r="K15"/>
  <c r="K48"/>
  <c r="K97"/>
  <c r="K79"/>
  <c r="K65"/>
  <c r="K38"/>
  <c r="K46"/>
  <c r="K67"/>
  <c r="K96"/>
  <c r="K39"/>
  <c r="K21"/>
  <c r="K94"/>
  <c r="K47"/>
  <c r="K16"/>
  <c r="K37"/>
  <c r="K18"/>
  <c r="K33"/>
  <c r="K32"/>
  <c r="K83"/>
  <c r="K62"/>
  <c r="K41"/>
  <c r="K70"/>
  <c r="K72"/>
  <c r="K64"/>
  <c r="K74"/>
  <c r="K50"/>
  <c r="K30"/>
  <c r="K17"/>
  <c r="K76"/>
  <c r="K42"/>
  <c r="K13"/>
  <c r="K78"/>
  <c r="K26"/>
  <c r="K98"/>
  <c r="K44"/>
  <c r="K99"/>
  <c r="K90"/>
  <c r="K84"/>
  <c r="K100"/>
  <c r="K54"/>
  <c r="K52"/>
  <c r="K82"/>
  <c r="L9"/>
  <c r="K101"/>
  <c r="K73"/>
  <c r="K75"/>
  <c r="K45"/>
  <c r="K88"/>
  <c r="K71"/>
  <c r="K85"/>
  <c r="K66"/>
  <c r="K93"/>
  <c r="K63"/>
  <c r="K87"/>
  <c r="K68"/>
  <c r="K36"/>
  <c r="K59"/>
  <c r="K81"/>
  <c r="K12"/>
  <c r="K80"/>
  <c r="K31"/>
  <c r="K10"/>
  <c r="K51"/>
  <c r="K60"/>
  <c r="K104"/>
  <c r="L88"/>
  <c r="L13"/>
  <c r="L102"/>
  <c r="L21"/>
  <c r="L53"/>
  <c r="L18"/>
  <c r="L48"/>
  <c r="L87"/>
  <c r="L35"/>
  <c r="L99"/>
  <c r="L68"/>
  <c r="L61"/>
  <c r="L39"/>
  <c r="L38"/>
  <c r="L33"/>
  <c r="L51"/>
  <c r="L86"/>
  <c r="L40"/>
  <c r="L17"/>
  <c r="L44"/>
  <c r="L59"/>
  <c r="L74"/>
  <c r="L29"/>
  <c r="L22"/>
  <c r="L25"/>
  <c r="L28"/>
  <c r="L81"/>
  <c r="L45"/>
  <c r="L10"/>
  <c r="L66"/>
  <c r="L89"/>
  <c r="L30"/>
  <c r="L58"/>
  <c r="L11"/>
  <c r="L69"/>
  <c r="L14"/>
  <c r="L92"/>
  <c r="L79"/>
  <c r="L77"/>
  <c r="L15"/>
  <c r="L80"/>
  <c r="L104"/>
  <c r="L83"/>
  <c r="L93"/>
  <c r="L84"/>
  <c r="L70"/>
  <c r="L52"/>
  <c r="L78"/>
  <c r="L71"/>
  <c r="L24"/>
  <c r="L101"/>
  <c r="L73"/>
  <c r="L62"/>
  <c r="L27"/>
  <c r="L36"/>
  <c r="L47"/>
  <c r="L54"/>
  <c r="L32"/>
  <c r="L31"/>
  <c r="L103"/>
  <c r="L41"/>
  <c r="L64"/>
  <c r="L19"/>
  <c r="L23"/>
  <c r="L16"/>
  <c r="L57"/>
  <c r="L42"/>
  <c r="L12"/>
  <c r="L95"/>
  <c r="L90"/>
  <c r="L63"/>
  <c r="L85"/>
  <c r="L34"/>
  <c r="L65"/>
  <c r="L94"/>
  <c r="L82"/>
  <c r="L75"/>
  <c r="L67"/>
  <c r="L97"/>
  <c r="L50"/>
  <c r="L72"/>
  <c r="L26"/>
  <c r="L43"/>
  <c r="L46"/>
  <c r="M9"/>
  <c r="M56" s="1"/>
  <c r="L98"/>
  <c r="L76"/>
  <c r="L55"/>
  <c r="L49"/>
  <c r="L91"/>
  <c r="L100"/>
  <c r="L60"/>
  <c r="L96"/>
  <c r="L20"/>
  <c r="L37"/>
  <c r="M97"/>
  <c r="M68"/>
  <c r="M33"/>
  <c r="M38"/>
  <c r="N9"/>
  <c r="M94"/>
  <c r="M21"/>
  <c r="M35"/>
  <c r="M90"/>
  <c r="M101"/>
  <c r="M74"/>
  <c r="M27"/>
  <c r="M64"/>
  <c r="M85"/>
  <c r="M70"/>
  <c r="M28"/>
  <c r="M52"/>
  <c r="M103"/>
  <c r="M98"/>
  <c r="M15"/>
  <c r="M92"/>
  <c r="M48"/>
  <c r="M89"/>
  <c r="M20"/>
  <c r="M29"/>
  <c r="M75"/>
  <c r="M18"/>
  <c r="M17"/>
  <c r="M53"/>
  <c r="M11"/>
  <c r="M77"/>
  <c r="M67"/>
  <c r="M12"/>
  <c r="M76"/>
  <c r="M50"/>
  <c r="M72"/>
  <c r="M81"/>
  <c r="M58"/>
  <c r="M71"/>
  <c r="M41"/>
  <c r="M25"/>
  <c r="M30"/>
  <c r="M99"/>
  <c r="M26"/>
  <c r="M36"/>
  <c r="M61"/>
  <c r="M39"/>
  <c r="M10"/>
  <c r="M42"/>
  <c r="M62"/>
  <c r="M13"/>
  <c r="M40"/>
  <c r="M83"/>
  <c r="M51"/>
  <c r="M37"/>
  <c r="M46"/>
  <c r="M34"/>
  <c r="M95"/>
  <c r="M44"/>
  <c r="M86"/>
  <c r="M57"/>
  <c r="M54"/>
  <c r="M43"/>
  <c r="M79"/>
  <c r="M49"/>
  <c r="M14"/>
  <c r="M47"/>
  <c r="M23"/>
  <c r="M22"/>
  <c r="M65"/>
  <c r="M31"/>
  <c r="M87"/>
  <c r="M93"/>
  <c r="M69"/>
  <c r="M32"/>
  <c r="M91"/>
  <c r="M19"/>
  <c r="M55"/>
  <c r="M78"/>
  <c r="M24"/>
  <c r="M16"/>
  <c r="M84"/>
  <c r="M88"/>
  <c r="M80"/>
  <c r="M60"/>
  <c r="M96"/>
  <c r="M82"/>
  <c r="M100"/>
  <c r="M45"/>
  <c r="M104"/>
  <c r="M59"/>
  <c r="M66"/>
  <c r="M73"/>
  <c r="M102"/>
  <c r="M63"/>
  <c r="N47"/>
  <c r="N61"/>
  <c r="N67"/>
  <c r="N94"/>
  <c r="N98"/>
  <c r="N57"/>
  <c r="N85"/>
  <c r="N70"/>
  <c r="N81"/>
  <c r="N91"/>
  <c r="N75"/>
  <c r="N69"/>
  <c r="N82"/>
  <c r="N22"/>
  <c r="N21"/>
  <c r="N35"/>
  <c r="N90"/>
  <c r="N14"/>
  <c r="N93"/>
  <c r="N40"/>
  <c r="N27"/>
  <c r="N58"/>
  <c r="N51"/>
  <c r="N65"/>
  <c r="N15"/>
  <c r="N79"/>
  <c r="N89"/>
  <c r="N18"/>
  <c r="N74"/>
  <c r="N49"/>
  <c r="N30"/>
  <c r="O9"/>
  <c r="O56" s="1"/>
  <c r="N10"/>
  <c r="N80"/>
  <c r="N59"/>
  <c r="N34"/>
  <c r="N92"/>
  <c r="N16"/>
  <c r="N12"/>
  <c r="N11"/>
  <c r="N43"/>
  <c r="N48"/>
  <c r="N101"/>
  <c r="N39"/>
  <c r="N52"/>
  <c r="N54"/>
  <c r="N66"/>
  <c r="N72"/>
  <c r="N37"/>
  <c r="N64"/>
  <c r="N24"/>
  <c r="N62"/>
  <c r="N29"/>
  <c r="N88"/>
  <c r="N28"/>
  <c r="N86"/>
  <c r="N38"/>
  <c r="N31"/>
  <c r="N13"/>
  <c r="N97"/>
  <c r="N46"/>
  <c r="N36"/>
  <c r="N45"/>
  <c r="N20"/>
  <c r="N42"/>
  <c r="N60"/>
  <c r="N23"/>
  <c r="N32"/>
  <c r="N33"/>
  <c r="N87"/>
  <c r="N44"/>
  <c r="N77"/>
  <c r="N26"/>
  <c r="N68"/>
  <c r="N99"/>
  <c r="N102"/>
  <c r="N25"/>
  <c r="N19"/>
  <c r="N95"/>
  <c r="N17"/>
  <c r="N83"/>
  <c r="N73"/>
  <c r="N41"/>
  <c r="N103"/>
  <c r="N84"/>
  <c r="N71"/>
  <c r="N76"/>
  <c r="N63"/>
  <c r="N78"/>
  <c r="N50"/>
  <c r="N55"/>
  <c r="N53"/>
  <c r="N104"/>
  <c r="N100"/>
  <c r="N96"/>
  <c r="O75"/>
  <c r="O18"/>
  <c r="O47"/>
  <c r="O40"/>
  <c r="O89"/>
  <c r="O77"/>
  <c r="O21"/>
  <c r="O71"/>
  <c r="O10"/>
  <c r="O55"/>
  <c r="O23"/>
  <c r="O80"/>
  <c r="O14"/>
  <c r="O95"/>
  <c r="O96"/>
  <c r="O99"/>
  <c r="O39"/>
  <c r="O34"/>
  <c r="O27"/>
  <c r="O104"/>
  <c r="O60"/>
  <c r="O45"/>
  <c r="O19"/>
  <c r="O61"/>
  <c r="P9"/>
  <c r="O59"/>
  <c r="O93"/>
  <c r="O49"/>
  <c r="O46"/>
  <c r="O74"/>
  <c r="O38"/>
  <c r="O20"/>
  <c r="O36"/>
  <c r="O73"/>
  <c r="O51"/>
  <c r="O16"/>
  <c r="O26"/>
  <c r="O62"/>
  <c r="O58"/>
  <c r="O79"/>
  <c r="O82"/>
  <c r="O81"/>
  <c r="O54"/>
  <c r="O70"/>
  <c r="O13"/>
  <c r="O87"/>
  <c r="O44"/>
  <c r="O72"/>
  <c r="O68"/>
  <c r="O76"/>
  <c r="O22"/>
  <c r="O50"/>
  <c r="O28"/>
  <c r="O94"/>
  <c r="O37"/>
  <c r="O78"/>
  <c r="O41"/>
  <c r="O100"/>
  <c r="O52"/>
  <c r="O53"/>
  <c r="O42"/>
  <c r="O24"/>
  <c r="O65"/>
  <c r="O86"/>
  <c r="O15"/>
  <c r="O64"/>
  <c r="O97"/>
  <c r="O101"/>
  <c r="O32"/>
  <c r="O63"/>
  <c r="O57"/>
  <c r="O66"/>
  <c r="O17"/>
  <c r="O88"/>
  <c r="O102"/>
  <c r="O69"/>
  <c r="O29"/>
  <c r="O33"/>
  <c r="O11"/>
  <c r="O25"/>
  <c r="O43"/>
  <c r="O85"/>
  <c r="O98"/>
  <c r="O90"/>
  <c r="O103"/>
  <c r="O67"/>
  <c r="O84"/>
  <c r="O31"/>
  <c r="O92"/>
  <c r="O48"/>
  <c r="O12"/>
  <c r="O30"/>
  <c r="O35"/>
  <c r="O83"/>
  <c r="O91"/>
  <c r="P91"/>
  <c r="P69"/>
  <c r="P82"/>
  <c r="P83"/>
  <c r="P73"/>
  <c r="P26"/>
  <c r="P27"/>
  <c r="P80"/>
  <c r="P81"/>
  <c r="P75"/>
  <c r="P41"/>
  <c r="P40"/>
  <c r="P65"/>
  <c r="P54"/>
  <c r="P44"/>
  <c r="P36"/>
  <c r="P100"/>
  <c r="P58"/>
  <c r="P57"/>
  <c r="P68"/>
  <c r="P102"/>
  <c r="P60"/>
  <c r="P10"/>
  <c r="P45"/>
  <c r="P85"/>
  <c r="P101"/>
  <c r="P20"/>
  <c r="P25"/>
  <c r="P30"/>
  <c r="P94"/>
  <c r="P78"/>
  <c r="P13"/>
  <c r="P86"/>
  <c r="P23"/>
  <c r="P84"/>
  <c r="P29"/>
  <c r="P79"/>
  <c r="P31"/>
  <c r="P21"/>
  <c r="P39"/>
  <c r="P103"/>
  <c r="P48"/>
  <c r="P104"/>
  <c r="P99"/>
  <c r="P24"/>
  <c r="P49"/>
  <c r="P93"/>
  <c r="P15"/>
  <c r="P70"/>
  <c r="P97"/>
  <c r="P17"/>
  <c r="P88"/>
  <c r="P28"/>
  <c r="P59"/>
  <c r="P47"/>
  <c r="P61"/>
  <c r="P87"/>
  <c r="P12"/>
  <c r="P43"/>
  <c r="P66"/>
  <c r="P38"/>
  <c r="P64"/>
  <c r="P35"/>
  <c r="P11"/>
  <c r="P37"/>
  <c r="P95"/>
  <c r="P46"/>
  <c r="P22"/>
  <c r="P52"/>
  <c r="P51"/>
  <c r="P92"/>
  <c r="P14"/>
  <c r="P18"/>
  <c r="P89"/>
  <c r="P50"/>
  <c r="P90"/>
  <c r="P55"/>
  <c r="P74"/>
  <c r="P53"/>
  <c r="P72"/>
  <c r="P71"/>
  <c r="P32"/>
  <c r="P16"/>
  <c r="P33"/>
  <c r="P77"/>
  <c r="P63"/>
  <c r="P96"/>
  <c r="P98"/>
  <c r="P76"/>
  <c r="P67"/>
  <c r="P34"/>
  <c r="Q9"/>
  <c r="Q56" s="1"/>
  <c r="P42"/>
  <c r="P62"/>
  <c r="P19"/>
  <c r="Q86"/>
  <c r="Q51"/>
  <c r="Q85"/>
  <c r="Q69"/>
  <c r="Q57"/>
  <c r="Q33"/>
  <c r="Q79"/>
  <c r="Q64"/>
  <c r="Q77"/>
  <c r="Q87"/>
  <c r="Q47"/>
  <c r="Q49"/>
  <c r="Q31"/>
  <c r="Q89"/>
  <c r="Q16"/>
  <c r="Q91"/>
  <c r="Q42"/>
  <c r="Q88"/>
  <c r="Q18"/>
  <c r="Q32"/>
  <c r="Q61"/>
  <c r="Q68"/>
  <c r="Q15"/>
  <c r="Q43"/>
  <c r="Q98"/>
  <c r="Q63"/>
  <c r="Q48"/>
  <c r="Q62"/>
  <c r="Q50"/>
  <c r="Q34"/>
  <c r="Q90"/>
  <c r="Q39"/>
  <c r="Q66"/>
  <c r="Q12"/>
  <c r="Q29"/>
  <c r="Q96"/>
  <c r="Q36"/>
  <c r="Q60"/>
  <c r="Q21"/>
  <c r="Q102"/>
  <c r="Q58"/>
  <c r="Q26"/>
  <c r="Q78"/>
  <c r="Q74"/>
  <c r="Q103"/>
  <c r="Q94"/>
  <c r="Q75"/>
  <c r="Q45"/>
  <c r="Q10"/>
  <c r="Q13"/>
  <c r="Q83"/>
  <c r="Q65"/>
  <c r="Q100"/>
  <c r="Q84"/>
  <c r="Q104"/>
  <c r="Q37"/>
  <c r="Q99"/>
  <c r="Q82"/>
  <c r="Q30"/>
  <c r="Q53"/>
  <c r="Q19"/>
  <c r="Q101"/>
  <c r="Q46"/>
  <c r="Q20"/>
  <c r="Q73"/>
  <c r="Q23"/>
  <c r="Q25"/>
  <c r="Q44"/>
  <c r="Q35"/>
  <c r="Q28"/>
  <c r="R9"/>
  <c r="Q22"/>
  <c r="Q27"/>
  <c r="Q59"/>
  <c r="Q97"/>
  <c r="Q11"/>
  <c r="Q38"/>
  <c r="Q41"/>
  <c r="Q93"/>
  <c r="Q67"/>
  <c r="Q80"/>
  <c r="Q76"/>
  <c r="Q24"/>
  <c r="Q40"/>
  <c r="Q95"/>
  <c r="Q54"/>
  <c r="Q55"/>
  <c r="Q52"/>
  <c r="Q71"/>
  <c r="Q92"/>
  <c r="Q70"/>
  <c r="Q72"/>
  <c r="Q17"/>
  <c r="Q14"/>
  <c r="Q81"/>
  <c r="R52"/>
  <c r="R68"/>
  <c r="R102"/>
  <c r="R16"/>
  <c r="R47"/>
  <c r="R31"/>
  <c r="R73"/>
  <c r="R66"/>
  <c r="R61"/>
  <c r="R29"/>
  <c r="R72"/>
  <c r="R57"/>
  <c r="R104"/>
  <c r="R54"/>
  <c r="R55"/>
  <c r="R23"/>
  <c r="R93"/>
  <c r="R49"/>
  <c r="R26"/>
  <c r="R74"/>
  <c r="R78"/>
  <c r="R89"/>
  <c r="R50"/>
  <c r="R70"/>
  <c r="R82"/>
  <c r="R83"/>
  <c r="R30"/>
  <c r="R37"/>
  <c r="R95"/>
  <c r="R71"/>
  <c r="R67"/>
  <c r="R58"/>
  <c r="R103"/>
  <c r="R10"/>
  <c r="R15"/>
  <c r="R12"/>
  <c r="R99"/>
  <c r="R60"/>
  <c r="R62"/>
  <c r="R36"/>
  <c r="R43"/>
  <c r="R18"/>
  <c r="R97"/>
  <c r="R91"/>
  <c r="R69"/>
  <c r="R79"/>
  <c r="R20"/>
  <c r="S9"/>
  <c r="S56" s="1"/>
  <c r="R13"/>
  <c r="R101"/>
  <c r="R100"/>
  <c r="R64"/>
  <c r="R51"/>
  <c r="R40"/>
  <c r="R87"/>
  <c r="R76"/>
  <c r="R45"/>
  <c r="R38"/>
  <c r="R98"/>
  <c r="R11"/>
  <c r="R80"/>
  <c r="R19"/>
  <c r="R92"/>
  <c r="R88"/>
  <c r="R22"/>
  <c r="R32"/>
  <c r="R94"/>
  <c r="R86"/>
  <c r="R27"/>
  <c r="R39"/>
  <c r="R75"/>
  <c r="R41"/>
  <c r="R48"/>
  <c r="R85"/>
  <c r="R14"/>
  <c r="R77"/>
  <c r="R33"/>
  <c r="R24"/>
  <c r="R46"/>
  <c r="R25"/>
  <c r="R28"/>
  <c r="R96"/>
  <c r="R84"/>
  <c r="R63"/>
  <c r="R44"/>
  <c r="R35"/>
  <c r="R59"/>
  <c r="R34"/>
  <c r="R21"/>
  <c r="R42"/>
  <c r="R90"/>
  <c r="R53"/>
  <c r="R81"/>
  <c r="R17"/>
  <c r="R65"/>
  <c r="S44"/>
  <c r="S34"/>
  <c r="S13"/>
  <c r="S67"/>
  <c r="S28"/>
  <c r="S62"/>
  <c r="S59"/>
  <c r="S48"/>
  <c r="S53"/>
  <c r="S81"/>
  <c r="S60"/>
  <c r="S96"/>
  <c r="S83"/>
  <c r="S12"/>
  <c r="S31"/>
  <c r="S15"/>
  <c r="S78"/>
  <c r="S39"/>
  <c r="S91"/>
  <c r="S95"/>
  <c r="S16"/>
  <c r="S99"/>
  <c r="S85"/>
  <c r="S55"/>
  <c r="S22"/>
  <c r="S37"/>
  <c r="S103"/>
  <c r="S20"/>
  <c r="T9"/>
  <c r="S86"/>
  <c r="S104"/>
  <c r="S38"/>
  <c r="S57"/>
  <c r="S88"/>
  <c r="S33"/>
  <c r="S74"/>
  <c r="S47"/>
  <c r="S49"/>
  <c r="S41"/>
  <c r="S98"/>
  <c r="S23"/>
  <c r="S82"/>
  <c r="S90"/>
  <c r="S93"/>
  <c r="S68"/>
  <c r="S32"/>
  <c r="S17"/>
  <c r="S97"/>
  <c r="S63"/>
  <c r="S19"/>
  <c r="S80"/>
  <c r="S51"/>
  <c r="S11"/>
  <c r="S10"/>
  <c r="S43"/>
  <c r="S27"/>
  <c r="S79"/>
  <c r="S14"/>
  <c r="S64"/>
  <c r="S69"/>
  <c r="S100"/>
  <c r="S101"/>
  <c r="S58"/>
  <c r="S65"/>
  <c r="S52"/>
  <c r="S66"/>
  <c r="S84"/>
  <c r="S18"/>
  <c r="S24"/>
  <c r="S72"/>
  <c r="S46"/>
  <c r="S77"/>
  <c r="S73"/>
  <c r="S61"/>
  <c r="S25"/>
  <c r="S50"/>
  <c r="S70"/>
  <c r="S92"/>
  <c r="S42"/>
  <c r="S94"/>
  <c r="S75"/>
  <c r="S29"/>
  <c r="S76"/>
  <c r="S102"/>
  <c r="S71"/>
  <c r="S87"/>
  <c r="S35"/>
  <c r="S21"/>
  <c r="S26"/>
  <c r="S30"/>
  <c r="S36"/>
  <c r="S40"/>
  <c r="S54"/>
  <c r="S89"/>
  <c r="S45"/>
  <c r="T103"/>
  <c r="T57"/>
  <c r="T67"/>
  <c r="T55"/>
  <c r="T24"/>
  <c r="T13"/>
  <c r="T31"/>
  <c r="T58"/>
  <c r="T41"/>
  <c r="T92"/>
  <c r="T11"/>
  <c r="T33"/>
  <c r="T35"/>
  <c r="T34"/>
  <c r="T19"/>
  <c r="T51"/>
  <c r="T94"/>
  <c r="T74"/>
  <c r="T38"/>
  <c r="T88"/>
  <c r="T52"/>
  <c r="T90"/>
  <c r="U9"/>
  <c r="U56" s="1"/>
  <c r="T36"/>
  <c r="T44"/>
  <c r="T81"/>
  <c r="T15"/>
  <c r="T49"/>
  <c r="T53"/>
  <c r="T79"/>
  <c r="T40"/>
  <c r="T66"/>
  <c r="T48"/>
  <c r="T73"/>
  <c r="T61"/>
  <c r="T20"/>
  <c r="T37"/>
  <c r="T78"/>
  <c r="T21"/>
  <c r="T18"/>
  <c r="T63"/>
  <c r="T98"/>
  <c r="T99"/>
  <c r="T32"/>
  <c r="T95"/>
  <c r="T17"/>
  <c r="T82"/>
  <c r="T68"/>
  <c r="T64"/>
  <c r="T22"/>
  <c r="T27"/>
  <c r="T46"/>
  <c r="T39"/>
  <c r="T42"/>
  <c r="T80"/>
  <c r="T101"/>
  <c r="T85"/>
  <c r="T70"/>
  <c r="T72"/>
  <c r="T93"/>
  <c r="T47"/>
  <c r="T71"/>
  <c r="T65"/>
  <c r="T23"/>
  <c r="T69"/>
  <c r="T25"/>
  <c r="T10"/>
  <c r="T91"/>
  <c r="T96"/>
  <c r="T26"/>
  <c r="T87"/>
  <c r="T83"/>
  <c r="T100"/>
  <c r="T54"/>
  <c r="T14"/>
  <c r="T16"/>
  <c r="T86"/>
  <c r="T59"/>
  <c r="T12"/>
  <c r="T104"/>
  <c r="T89"/>
  <c r="T84"/>
  <c r="T77"/>
  <c r="T45"/>
  <c r="T43"/>
  <c r="T50"/>
  <c r="T76"/>
  <c r="T75"/>
  <c r="T62"/>
  <c r="T60"/>
  <c r="T97"/>
  <c r="T29"/>
  <c r="T30"/>
  <c r="T28"/>
  <c r="T102"/>
  <c r="U94"/>
  <c r="U46"/>
  <c r="U41"/>
  <c r="U103"/>
  <c r="U42"/>
  <c r="U78"/>
  <c r="U20"/>
  <c r="U25"/>
  <c r="U52"/>
  <c r="U71"/>
  <c r="U82"/>
  <c r="U96"/>
  <c r="U28"/>
  <c r="U91"/>
  <c r="U16"/>
  <c r="U40"/>
  <c r="U67"/>
  <c r="U36"/>
  <c r="U80"/>
  <c r="U33"/>
  <c r="U68"/>
  <c r="U53"/>
  <c r="U11"/>
  <c r="U38"/>
  <c r="U83"/>
  <c r="U61"/>
  <c r="U51"/>
  <c r="U77"/>
  <c r="U87"/>
  <c r="U84"/>
  <c r="U60"/>
  <c r="U59"/>
  <c r="U48"/>
  <c r="U65"/>
  <c r="U17"/>
  <c r="U98"/>
  <c r="U43"/>
  <c r="U21"/>
  <c r="U54"/>
  <c r="U63"/>
  <c r="U66"/>
  <c r="U70"/>
  <c r="U58"/>
  <c r="U85"/>
  <c r="U69"/>
  <c r="U18"/>
  <c r="U101"/>
  <c r="U24"/>
  <c r="U75"/>
  <c r="U27"/>
  <c r="U99"/>
  <c r="U13"/>
  <c r="U39"/>
  <c r="U62"/>
  <c r="U44"/>
  <c r="U104"/>
  <c r="U72"/>
  <c r="U57"/>
  <c r="U73"/>
  <c r="U35"/>
  <c r="U89"/>
  <c r="U102"/>
  <c r="U88"/>
  <c r="U90"/>
  <c r="U32"/>
  <c r="U15"/>
  <c r="U47"/>
  <c r="U26"/>
  <c r="U29"/>
  <c r="U92"/>
  <c r="V9"/>
  <c r="U22"/>
  <c r="U49"/>
  <c r="U10"/>
  <c r="U23"/>
  <c r="U34"/>
  <c r="U30"/>
  <c r="U19"/>
  <c r="U95"/>
  <c r="U86"/>
  <c r="U50"/>
  <c r="U14"/>
  <c r="U93"/>
  <c r="U12"/>
  <c r="U97"/>
  <c r="U55"/>
  <c r="U81"/>
  <c r="U45"/>
  <c r="U79"/>
  <c r="U31"/>
  <c r="U76"/>
  <c r="U100"/>
  <c r="U64"/>
  <c r="U74"/>
  <c r="U37"/>
  <c r="V72"/>
  <c r="V41"/>
  <c r="V42"/>
  <c r="V96"/>
  <c r="V62"/>
  <c r="V47"/>
  <c r="V28"/>
  <c r="V38"/>
  <c r="V95"/>
  <c r="V40"/>
  <c r="V103"/>
  <c r="V44"/>
  <c r="V59"/>
  <c r="V70"/>
  <c r="V46"/>
  <c r="V97"/>
  <c r="V31"/>
  <c r="V15"/>
  <c r="V73"/>
  <c r="V13"/>
  <c r="V76"/>
  <c r="V17"/>
  <c r="V33"/>
  <c r="V80"/>
  <c r="V26"/>
  <c r="V11"/>
  <c r="V10"/>
  <c r="V20"/>
  <c r="V60"/>
  <c r="V39"/>
  <c r="V37"/>
  <c r="V82"/>
  <c r="V43"/>
  <c r="V101"/>
  <c r="V71"/>
  <c r="V78"/>
  <c r="V12"/>
  <c r="V89"/>
  <c r="V65"/>
  <c r="V19"/>
  <c r="V100"/>
  <c r="V35"/>
  <c r="V99"/>
  <c r="V88"/>
  <c r="V64"/>
  <c r="V86"/>
  <c r="V104"/>
  <c r="V22"/>
  <c r="V30"/>
  <c r="V27"/>
  <c r="V58"/>
  <c r="W9"/>
  <c r="W56" s="1"/>
  <c r="V52"/>
  <c r="V92"/>
  <c r="V63"/>
  <c r="V68"/>
  <c r="V66"/>
  <c r="V81"/>
  <c r="V48"/>
  <c r="V55"/>
  <c r="V74"/>
  <c r="V87"/>
  <c r="V91"/>
  <c r="V61"/>
  <c r="V18"/>
  <c r="V45"/>
  <c r="V84"/>
  <c r="V79"/>
  <c r="V93"/>
  <c r="V94"/>
  <c r="V16"/>
  <c r="V49"/>
  <c r="V90"/>
  <c r="V25"/>
  <c r="V50"/>
  <c r="V54"/>
  <c r="V32"/>
  <c r="V83"/>
  <c r="V102"/>
  <c r="V57"/>
  <c r="V36"/>
  <c r="V23"/>
  <c r="V53"/>
  <c r="V85"/>
  <c r="V34"/>
  <c r="V69"/>
  <c r="V24"/>
  <c r="V75"/>
  <c r="V77"/>
  <c r="V51"/>
  <c r="V98"/>
  <c r="V14"/>
  <c r="V29"/>
  <c r="V21"/>
  <c r="V67"/>
  <c r="W61"/>
  <c r="W57"/>
  <c r="W74"/>
  <c r="W26"/>
  <c r="W103"/>
  <c r="W62"/>
  <c r="W65"/>
  <c r="W14"/>
  <c r="W78"/>
  <c r="W58"/>
  <c r="W69"/>
  <c r="W32"/>
  <c r="W86"/>
  <c r="W30"/>
  <c r="W39"/>
  <c r="W68"/>
  <c r="W90"/>
  <c r="W11"/>
  <c r="W41"/>
  <c r="W48"/>
  <c r="W87"/>
  <c r="W13"/>
  <c r="W76"/>
  <c r="W72"/>
  <c r="W63"/>
  <c r="W49"/>
  <c r="W36"/>
  <c r="W52"/>
  <c r="W15"/>
  <c r="W71"/>
  <c r="W55"/>
  <c r="W10"/>
  <c r="W38"/>
  <c r="W47"/>
  <c r="W102"/>
  <c r="W99"/>
  <c r="W35"/>
  <c r="W28"/>
  <c r="W34"/>
  <c r="X9"/>
  <c r="W42"/>
  <c r="W100"/>
  <c r="W82"/>
  <c r="W97"/>
  <c r="W67"/>
  <c r="W75"/>
  <c r="W16"/>
  <c r="W91"/>
  <c r="W19"/>
  <c r="W66"/>
  <c r="W98"/>
  <c r="W22"/>
  <c r="W88"/>
  <c r="W60"/>
  <c r="W70"/>
  <c r="W29"/>
  <c r="W54"/>
  <c r="W73"/>
  <c r="W24"/>
  <c r="W45"/>
  <c r="W12"/>
  <c r="W18"/>
  <c r="W93"/>
  <c r="W25"/>
  <c r="W83"/>
  <c r="W33"/>
  <c r="W59"/>
  <c r="W92"/>
  <c r="W27"/>
  <c r="W50"/>
  <c r="W37"/>
  <c r="W23"/>
  <c r="W64"/>
  <c r="W96"/>
  <c r="W53"/>
  <c r="W31"/>
  <c r="W79"/>
  <c r="W95"/>
  <c r="W21"/>
  <c r="W89"/>
  <c r="W77"/>
  <c r="W80"/>
  <c r="W44"/>
  <c r="W85"/>
  <c r="W43"/>
  <c r="W17"/>
  <c r="W51"/>
  <c r="W40"/>
  <c r="W104"/>
  <c r="W84"/>
  <c r="W81"/>
  <c r="W20"/>
  <c r="W46"/>
  <c r="W101"/>
  <c r="W94"/>
  <c r="X63"/>
  <c r="X47"/>
  <c r="X59"/>
  <c r="X16"/>
  <c r="Y9"/>
  <c r="Y56" s="1"/>
  <c r="X51"/>
  <c r="X57"/>
  <c r="X91"/>
  <c r="X79"/>
  <c r="X45"/>
  <c r="X20"/>
  <c r="X78"/>
  <c r="X15"/>
  <c r="X22"/>
  <c r="X80"/>
  <c r="X21"/>
  <c r="X58"/>
  <c r="X13"/>
  <c r="X42"/>
  <c r="X10"/>
  <c r="X32"/>
  <c r="X87"/>
  <c r="X76"/>
  <c r="X39"/>
  <c r="X98"/>
  <c r="X28"/>
  <c r="X40"/>
  <c r="X35"/>
  <c r="X67"/>
  <c r="X96"/>
  <c r="X95"/>
  <c r="X70"/>
  <c r="X89"/>
  <c r="X104"/>
  <c r="X69"/>
  <c r="X24"/>
  <c r="X66"/>
  <c r="X85"/>
  <c r="X31"/>
  <c r="X102"/>
  <c r="X61"/>
  <c r="X18"/>
  <c r="X81"/>
  <c r="X65"/>
  <c r="X73"/>
  <c r="X60"/>
  <c r="X77"/>
  <c r="X26"/>
  <c r="X101"/>
  <c r="X11"/>
  <c r="X103"/>
  <c r="X97"/>
  <c r="X86"/>
  <c r="X12"/>
  <c r="X14"/>
  <c r="X84"/>
  <c r="X88"/>
  <c r="X83"/>
  <c r="X100"/>
  <c r="X50"/>
  <c r="X23"/>
  <c r="X71"/>
  <c r="X68"/>
  <c r="X93"/>
  <c r="X53"/>
  <c r="X99"/>
  <c r="X90"/>
  <c r="X72"/>
  <c r="X48"/>
  <c r="X49"/>
  <c r="X75"/>
  <c r="X33"/>
  <c r="X38"/>
  <c r="X17"/>
  <c r="X74"/>
  <c r="X92"/>
  <c r="X41"/>
  <c r="X43"/>
  <c r="X19"/>
  <c r="X82"/>
  <c r="X44"/>
  <c r="X36"/>
  <c r="X64"/>
  <c r="X55"/>
  <c r="X37"/>
  <c r="X27"/>
  <c r="X30"/>
  <c r="X25"/>
  <c r="X52"/>
  <c r="X34"/>
  <c r="X62"/>
  <c r="X54"/>
  <c r="X29"/>
  <c r="X46"/>
  <c r="X94"/>
  <c r="Y92"/>
  <c r="Y51"/>
  <c r="Y46"/>
  <c r="Y87"/>
  <c r="Y60"/>
  <c r="Y37"/>
  <c r="Y43"/>
  <c r="Y39"/>
  <c r="Y100"/>
  <c r="Y53"/>
  <c r="Y36"/>
  <c r="Y104"/>
  <c r="Y15"/>
  <c r="Y78"/>
  <c r="Y72"/>
  <c r="Y33"/>
  <c r="Y10"/>
  <c r="Y97"/>
  <c r="Y42"/>
  <c r="Y52"/>
  <c r="Y22"/>
  <c r="Y41"/>
  <c r="Y38"/>
  <c r="Y89"/>
  <c r="Y20"/>
  <c r="Y58"/>
  <c r="Y101"/>
  <c r="Y30"/>
  <c r="Y94"/>
  <c r="Y103"/>
  <c r="Y102"/>
  <c r="Y77"/>
  <c r="Y66"/>
  <c r="Y85"/>
  <c r="Y54"/>
  <c r="Y44"/>
  <c r="Y50"/>
  <c r="Y80"/>
  <c r="Y86"/>
  <c r="Y28"/>
  <c r="Y99"/>
  <c r="Y76"/>
  <c r="Y34"/>
  <c r="Y67"/>
  <c r="Y73"/>
  <c r="Y18"/>
  <c r="Y25"/>
  <c r="Y55"/>
  <c r="Z9"/>
  <c r="Y69"/>
  <c r="Y29"/>
  <c r="Y81"/>
  <c r="Y59"/>
  <c r="Y70"/>
  <c r="Y57"/>
  <c r="Y62"/>
  <c r="Y65"/>
  <c r="Y90"/>
  <c r="Y98"/>
  <c r="Y48"/>
  <c r="Y14"/>
  <c r="Y45"/>
  <c r="Y27"/>
  <c r="Y88"/>
  <c r="Y32"/>
  <c r="Y17"/>
  <c r="Y40"/>
  <c r="Y13"/>
  <c r="Y68"/>
  <c r="Y91"/>
  <c r="Y21"/>
  <c r="Y24"/>
  <c r="Y16"/>
  <c r="Y31"/>
  <c r="Y95"/>
  <c r="Y84"/>
  <c r="Y82"/>
  <c r="Y63"/>
  <c r="Y12"/>
  <c r="Y75"/>
  <c r="Y49"/>
  <c r="Y35"/>
  <c r="Y61"/>
  <c r="Y64"/>
  <c r="Y26"/>
  <c r="Y71"/>
  <c r="Y74"/>
  <c r="Y11"/>
  <c r="Y83"/>
  <c r="Y19"/>
  <c r="Y47"/>
  <c r="Y93"/>
  <c r="Y79"/>
  <c r="Y96"/>
  <c r="Y23"/>
  <c r="Z97"/>
  <c r="Z68"/>
  <c r="Z85"/>
  <c r="Z91"/>
  <c r="Z104"/>
  <c r="Z69"/>
  <c r="AA9"/>
  <c r="AA56" s="1"/>
  <c r="Z79"/>
  <c r="Z101"/>
  <c r="Z57"/>
  <c r="Z70"/>
  <c r="Z46"/>
  <c r="Z71"/>
  <c r="Z76"/>
  <c r="Z67"/>
  <c r="Z49"/>
  <c r="Z26"/>
  <c r="Z102"/>
  <c r="Z103"/>
  <c r="Z82"/>
  <c r="Z33"/>
  <c r="Z32"/>
  <c r="Z10"/>
  <c r="Z30"/>
  <c r="Z43"/>
  <c r="Z98"/>
  <c r="Z18"/>
  <c r="Z25"/>
  <c r="Z23"/>
  <c r="Z90"/>
  <c r="Z16"/>
  <c r="Z100"/>
  <c r="Z15"/>
  <c r="Z40"/>
  <c r="Z35"/>
  <c r="Z28"/>
  <c r="Z93"/>
  <c r="Z66"/>
  <c r="Z45"/>
  <c r="Z75"/>
  <c r="Z51"/>
  <c r="Z20"/>
  <c r="Z55"/>
  <c r="Z50"/>
  <c r="Z88"/>
  <c r="Z84"/>
  <c r="Z99"/>
  <c r="Z37"/>
  <c r="Z59"/>
  <c r="Z89"/>
  <c r="Z80"/>
  <c r="Z94"/>
  <c r="Z24"/>
  <c r="Z48"/>
  <c r="Z29"/>
  <c r="Z22"/>
  <c r="Z61"/>
  <c r="Z17"/>
  <c r="Z27"/>
  <c r="Z13"/>
  <c r="Z44"/>
  <c r="Z47"/>
  <c r="Z64"/>
  <c r="Z78"/>
  <c r="Z86"/>
  <c r="Z11"/>
  <c r="Z72"/>
  <c r="Z36"/>
  <c r="Z77"/>
  <c r="Z87"/>
  <c r="Z73"/>
  <c r="Z62"/>
  <c r="Z19"/>
  <c r="Z38"/>
  <c r="Z52"/>
  <c r="Z14"/>
  <c r="Z81"/>
  <c r="Z96"/>
  <c r="Z21"/>
  <c r="Z63"/>
  <c r="Z34"/>
  <c r="Z12"/>
  <c r="Z58"/>
  <c r="Z74"/>
  <c r="Z65"/>
  <c r="Z41"/>
  <c r="Z31"/>
  <c r="Z42"/>
  <c r="Z83"/>
  <c r="Z95"/>
  <c r="Z92"/>
  <c r="Z39"/>
  <c r="Z53"/>
  <c r="Z60"/>
  <c r="Z54"/>
  <c r="AA97"/>
  <c r="AA62"/>
  <c r="AA13"/>
  <c r="AA103"/>
  <c r="AA30"/>
  <c r="AA59"/>
  <c r="AA50"/>
  <c r="AA17"/>
  <c r="AA75"/>
  <c r="AA29"/>
  <c r="AA78"/>
  <c r="AA22"/>
  <c r="AA65"/>
  <c r="AA36"/>
  <c r="AA40"/>
  <c r="AA88"/>
  <c r="AA15"/>
  <c r="AA52"/>
  <c r="AA66"/>
  <c r="AA49"/>
  <c r="AA35"/>
  <c r="AA95"/>
  <c r="AA100"/>
  <c r="AA71"/>
  <c r="AA83"/>
  <c r="AA85"/>
  <c r="AA91"/>
  <c r="AA86"/>
  <c r="AA21"/>
  <c r="AA76"/>
  <c r="AA92"/>
  <c r="AA44"/>
  <c r="AA20"/>
  <c r="AA70"/>
  <c r="AA16"/>
  <c r="AA77"/>
  <c r="AA69"/>
  <c r="AA46"/>
  <c r="AA90"/>
  <c r="AA14"/>
  <c r="AA104"/>
  <c r="AA47"/>
  <c r="AA32"/>
  <c r="AA57"/>
  <c r="AA55"/>
  <c r="AA89"/>
  <c r="AA61"/>
  <c r="AA54"/>
  <c r="AA73"/>
  <c r="AA38"/>
  <c r="AA94"/>
  <c r="AA37"/>
  <c r="AA25"/>
  <c r="AA31"/>
  <c r="AA79"/>
  <c r="AA28"/>
  <c r="AA84"/>
  <c r="AA53"/>
  <c r="AA93"/>
  <c r="AA12"/>
  <c r="AA101"/>
  <c r="AA98"/>
  <c r="AA11"/>
  <c r="AA27"/>
  <c r="AA74"/>
  <c r="AA63"/>
  <c r="AA64"/>
  <c r="AA19"/>
  <c r="AA23"/>
  <c r="AA60"/>
  <c r="AA39"/>
  <c r="AA102"/>
  <c r="AA48"/>
  <c r="AA72"/>
  <c r="AA33"/>
  <c r="AA24"/>
  <c r="AA58"/>
  <c r="AA42"/>
  <c r="AA80"/>
  <c r="AA26"/>
  <c r="AA43"/>
  <c r="AB9"/>
  <c r="AA87"/>
  <c r="AA34"/>
  <c r="AA67"/>
  <c r="AA81"/>
  <c r="AA82"/>
  <c r="AA18"/>
  <c r="AA51"/>
  <c r="AA45"/>
  <c r="AA99"/>
  <c r="AA41"/>
  <c r="AA68"/>
  <c r="AA96"/>
  <c r="AA10"/>
  <c r="AB104"/>
  <c r="AB52"/>
  <c r="AB102"/>
  <c r="AB74"/>
  <c r="AB46"/>
  <c r="AB41"/>
  <c r="AB49"/>
  <c r="AB44"/>
  <c r="AB29"/>
  <c r="AB17"/>
  <c r="AB73"/>
  <c r="AB24"/>
  <c r="AB61"/>
  <c r="AB67"/>
  <c r="AB94"/>
  <c r="AB27"/>
  <c r="AB59"/>
  <c r="AB81"/>
  <c r="AB25"/>
  <c r="AB89"/>
  <c r="AB13"/>
  <c r="AB66"/>
  <c r="AB20"/>
  <c r="AB63"/>
  <c r="AB28"/>
  <c r="AB47"/>
  <c r="AB33"/>
  <c r="AB83"/>
  <c r="AB101"/>
  <c r="AB50"/>
  <c r="AB88"/>
  <c r="AB14"/>
  <c r="AB64"/>
  <c r="AB36"/>
  <c r="AB91"/>
  <c r="AB87"/>
  <c r="AB90"/>
  <c r="AB60"/>
  <c r="AB57"/>
  <c r="AB37"/>
  <c r="AB68"/>
  <c r="AB40"/>
  <c r="AB34"/>
  <c r="AB43"/>
  <c r="AB42"/>
  <c r="AB26"/>
  <c r="AB11"/>
  <c r="AB84"/>
  <c r="AB39"/>
  <c r="AB103"/>
  <c r="AB53"/>
  <c r="AB80"/>
  <c r="AB21"/>
  <c r="AB92"/>
  <c r="AB85"/>
  <c r="AB95"/>
  <c r="AB32"/>
  <c r="AB69"/>
  <c r="AB45"/>
  <c r="AB62"/>
  <c r="AB82"/>
  <c r="AB79"/>
  <c r="AB58"/>
  <c r="AB93"/>
  <c r="AC9"/>
  <c r="AC56" s="1"/>
  <c r="AB38"/>
  <c r="AB99"/>
  <c r="AB10"/>
  <c r="AB65"/>
  <c r="AB35"/>
  <c r="AB22"/>
  <c r="AB71"/>
  <c r="AB72"/>
  <c r="AB77"/>
  <c r="AB18"/>
  <c r="AB30"/>
  <c r="AB54"/>
  <c r="AB100"/>
  <c r="AB97"/>
  <c r="AB31"/>
  <c r="AB15"/>
  <c r="AB75"/>
  <c r="AB86"/>
  <c r="AB70"/>
  <c r="AB96"/>
  <c r="AB19"/>
  <c r="AB76"/>
  <c r="AB78"/>
  <c r="AB16"/>
  <c r="AB48"/>
  <c r="AB51"/>
  <c r="AB55"/>
  <c r="AB23"/>
  <c r="AB98"/>
  <c r="AB12"/>
  <c r="AC26"/>
  <c r="AC13"/>
  <c r="AC31"/>
  <c r="AC59"/>
  <c r="AC77"/>
  <c r="AC19"/>
  <c r="AC38"/>
  <c r="AC67"/>
  <c r="AC14"/>
  <c r="AC20"/>
  <c r="AC37"/>
  <c r="AC66"/>
  <c r="AC10"/>
  <c r="AC49"/>
  <c r="AC57"/>
  <c r="AC87"/>
  <c r="AC52"/>
  <c r="AC93"/>
  <c r="AC100"/>
  <c r="AC75"/>
  <c r="AC64"/>
  <c r="AC76"/>
  <c r="AC78"/>
  <c r="AC104"/>
  <c r="AC34"/>
  <c r="AC74"/>
  <c r="AC91"/>
  <c r="AC41"/>
  <c r="AC44"/>
  <c r="AC42"/>
  <c r="AC27"/>
  <c r="AC53"/>
  <c r="AC85"/>
  <c r="AC101"/>
  <c r="AC36"/>
  <c r="AC24"/>
  <c r="AC94"/>
  <c r="AC82"/>
  <c r="AC62"/>
  <c r="AC102"/>
  <c r="AC60"/>
  <c r="AC23"/>
  <c r="AC39"/>
  <c r="AC22"/>
  <c r="AC90"/>
  <c r="AC46"/>
  <c r="AC30"/>
  <c r="AC15"/>
  <c r="AC11"/>
  <c r="AC89"/>
  <c r="AC17"/>
  <c r="AC88"/>
  <c r="AC58"/>
  <c r="AC73"/>
  <c r="AC83"/>
  <c r="AC68"/>
  <c r="AC98"/>
  <c r="AC95"/>
  <c r="AC63"/>
  <c r="AC43"/>
  <c r="AC92"/>
  <c r="AC48"/>
  <c r="AC71"/>
  <c r="AC103"/>
  <c r="AC84"/>
  <c r="AC50"/>
  <c r="AC99"/>
  <c r="AC32"/>
  <c r="AC55"/>
  <c r="AC21"/>
  <c r="AC47"/>
  <c r="AC61"/>
  <c r="AC16"/>
  <c r="AC12"/>
  <c r="AC25"/>
  <c r="AC18"/>
  <c r="AC35"/>
  <c r="AC65"/>
  <c r="AC72"/>
  <c r="AC79"/>
  <c r="AC40"/>
  <c r="AC45"/>
  <c r="AD9"/>
  <c r="AC28"/>
  <c r="AC33"/>
  <c r="AC80"/>
  <c r="AC81"/>
  <c r="AC29"/>
  <c r="AC70"/>
  <c r="AC51"/>
  <c r="AC96"/>
  <c r="AC54"/>
  <c r="AC86"/>
  <c r="AC69"/>
  <c r="AC97"/>
  <c r="AD40"/>
  <c r="AD91"/>
  <c r="AD32"/>
  <c r="AD95"/>
  <c r="AD72"/>
  <c r="AD62"/>
  <c r="AD74"/>
  <c r="AD61"/>
  <c r="AD81"/>
  <c r="AD54"/>
  <c r="AD86"/>
  <c r="AD47"/>
  <c r="AD22"/>
  <c r="AD83"/>
  <c r="AD18"/>
  <c r="AD78"/>
  <c r="AD44"/>
  <c r="AD34"/>
  <c r="AD10"/>
  <c r="AD55"/>
  <c r="AD36"/>
  <c r="AD69"/>
  <c r="AD68"/>
  <c r="AD38"/>
  <c r="AD26"/>
  <c r="AD29"/>
  <c r="AD11"/>
  <c r="AD59"/>
  <c r="AD12"/>
  <c r="AD51"/>
  <c r="AD41"/>
  <c r="AD75"/>
  <c r="AD13"/>
  <c r="AD39"/>
  <c r="AD50"/>
  <c r="AD35"/>
  <c r="AD67"/>
  <c r="AD21"/>
  <c r="AD37"/>
  <c r="AD94"/>
  <c r="AD28"/>
  <c r="AD87"/>
  <c r="AD20"/>
  <c r="AD90"/>
  <c r="AD48"/>
  <c r="AD17"/>
  <c r="AD84"/>
  <c r="AD101"/>
  <c r="AD63"/>
  <c r="AD52"/>
  <c r="AD30"/>
  <c r="AD31"/>
  <c r="AD57"/>
  <c r="AD43"/>
  <c r="AD25"/>
  <c r="AD76"/>
  <c r="AD100"/>
  <c r="AD60"/>
  <c r="AD73"/>
  <c r="AD97"/>
  <c r="AD102"/>
  <c r="AD85"/>
  <c r="AD42"/>
  <c r="AD104"/>
  <c r="AD98"/>
  <c r="AD99"/>
  <c r="AD96"/>
  <c r="AD70"/>
  <c r="AD46"/>
  <c r="AD80"/>
  <c r="AD16"/>
  <c r="AD19"/>
  <c r="AD58"/>
  <c r="AD66"/>
  <c r="AD71"/>
  <c r="AD93"/>
  <c r="AD89"/>
  <c r="AD27"/>
  <c r="AD24"/>
  <c r="AD23"/>
  <c r="AD79"/>
  <c r="AD53"/>
  <c r="AD88"/>
  <c r="AD15"/>
  <c r="AD14"/>
  <c r="AD82"/>
  <c r="AD49"/>
  <c r="AD64"/>
  <c r="AD92"/>
  <c r="AD33"/>
  <c r="AD103"/>
  <c r="AD45"/>
  <c r="AD65"/>
  <c r="AD77"/>
  <c r="AE9"/>
  <c r="AE56" s="1"/>
  <c r="AE24"/>
  <c r="AE85"/>
  <c r="AE99"/>
  <c r="AE67"/>
  <c r="AE86"/>
  <c r="AE43"/>
  <c r="AE96"/>
  <c r="AE72"/>
  <c r="AE47"/>
  <c r="AE76"/>
  <c r="AE33"/>
  <c r="AE42"/>
  <c r="AE44"/>
  <c r="AF9"/>
  <c r="AE40"/>
  <c r="AE25"/>
  <c r="AE94"/>
  <c r="AE65"/>
  <c r="AE84"/>
  <c r="AE80"/>
  <c r="AE78"/>
  <c r="AE90"/>
  <c r="AE21"/>
  <c r="AE87"/>
  <c r="AE31"/>
  <c r="AE100"/>
  <c r="AE37"/>
  <c r="AE79"/>
  <c r="AE88"/>
  <c r="AE28"/>
  <c r="AE57"/>
  <c r="AE61"/>
  <c r="AE49"/>
  <c r="AE46"/>
  <c r="AE60"/>
  <c r="AE95"/>
  <c r="AE74"/>
  <c r="AE69"/>
  <c r="AE54"/>
  <c r="AE77"/>
  <c r="AE81"/>
  <c r="AE29"/>
  <c r="AE26"/>
  <c r="AE35"/>
  <c r="AE32"/>
  <c r="AE102"/>
  <c r="AE70"/>
  <c r="AE89"/>
  <c r="AE101"/>
  <c r="AE52"/>
  <c r="AE92"/>
  <c r="AE14"/>
  <c r="AE36"/>
  <c r="AE62"/>
  <c r="AE53"/>
  <c r="AE13"/>
  <c r="AE82"/>
  <c r="AE39"/>
  <c r="AE51"/>
  <c r="AE50"/>
  <c r="AE63"/>
  <c r="AE17"/>
  <c r="AE19"/>
  <c r="AE22"/>
  <c r="AE34"/>
  <c r="AE58"/>
  <c r="AE59"/>
  <c r="AE66"/>
  <c r="AE16"/>
  <c r="AE75"/>
  <c r="AE71"/>
  <c r="AE68"/>
  <c r="AE73"/>
  <c r="AE23"/>
  <c r="AE15"/>
  <c r="AE18"/>
  <c r="AE38"/>
  <c r="AE48"/>
  <c r="AE27"/>
  <c r="AE64"/>
  <c r="AE45"/>
  <c r="AG9"/>
  <c r="AG56" s="1"/>
  <c r="AF54"/>
  <c r="AF42"/>
  <c r="AF80"/>
  <c r="AF90"/>
  <c r="AF93"/>
  <c r="AF51"/>
  <c r="AF85"/>
  <c r="AF17"/>
  <c r="AF37"/>
  <c r="AF71"/>
  <c r="AF73"/>
  <c r="AF21"/>
  <c r="AF46"/>
  <c r="AF65"/>
  <c r="AF18"/>
  <c r="AF48"/>
  <c r="AF81"/>
  <c r="AF39"/>
  <c r="AF34"/>
  <c r="AF49"/>
  <c r="AF12"/>
  <c r="AF104"/>
  <c r="AF64"/>
  <c r="AF41"/>
  <c r="AF102"/>
  <c r="AF101"/>
  <c r="AF98"/>
  <c r="AF76"/>
  <c r="AF94"/>
  <c r="AF22"/>
  <c r="AF82"/>
  <c r="AF66"/>
  <c r="AF31"/>
  <c r="AF57"/>
  <c r="AF43"/>
  <c r="AF87"/>
  <c r="AF77"/>
  <c r="AF38"/>
  <c r="AF103"/>
  <c r="AF61"/>
  <c r="AF63"/>
  <c r="AF58"/>
  <c r="AF69"/>
  <c r="AF95"/>
  <c r="AF25"/>
  <c r="AF11"/>
  <c r="AF72"/>
  <c r="AF52"/>
  <c r="AF91"/>
  <c r="AF62"/>
  <c r="AF100"/>
  <c r="AF10"/>
  <c r="AF35"/>
  <c r="AF60"/>
  <c r="AF68"/>
  <c r="AF88"/>
  <c r="AF13"/>
  <c r="AF97"/>
  <c r="AF99"/>
  <c r="AF26"/>
  <c r="AF55"/>
  <c r="AF53"/>
  <c r="AF67"/>
  <c r="AF16"/>
  <c r="AF27"/>
  <c r="AF24"/>
  <c r="AF86"/>
  <c r="AF50"/>
  <c r="AF19"/>
  <c r="AF29"/>
  <c r="AF70"/>
  <c r="AF30"/>
  <c r="AF36"/>
  <c r="AF45"/>
  <c r="AF83"/>
  <c r="AF79"/>
  <c r="AF14"/>
  <c r="AF74"/>
  <c r="AF96"/>
  <c r="AF78"/>
  <c r="AF33"/>
  <c r="AF75"/>
  <c r="AF20"/>
  <c r="AF28"/>
  <c r="AF40"/>
  <c r="AF92"/>
  <c r="AF47"/>
  <c r="AF89"/>
  <c r="AF44"/>
  <c r="AF23"/>
  <c r="AF15"/>
  <c r="AF32"/>
  <c r="AF84"/>
  <c r="AF59"/>
  <c r="AH9"/>
  <c r="AG76"/>
  <c r="AG84"/>
  <c r="AG97"/>
  <c r="AG70"/>
  <c r="AG74"/>
  <c r="AG95"/>
  <c r="AG77"/>
  <c r="AG72"/>
  <c r="AG18"/>
  <c r="AG19"/>
  <c r="AG54"/>
  <c r="AG43"/>
  <c r="AG15"/>
  <c r="AG46"/>
  <c r="AG71"/>
  <c r="AG94"/>
  <c r="AG75"/>
  <c r="AG53"/>
  <c r="AG64"/>
  <c r="AG35"/>
  <c r="AG28"/>
  <c r="AG91"/>
  <c r="AG33"/>
  <c r="AG96"/>
  <c r="AG41"/>
  <c r="AG103"/>
  <c r="AG27"/>
  <c r="AG90"/>
  <c r="AG69"/>
  <c r="AG100"/>
  <c r="AG39"/>
  <c r="AG57"/>
  <c r="AG38"/>
  <c r="AG23"/>
  <c r="AG29"/>
  <c r="AG21"/>
  <c r="AG12"/>
  <c r="AG25"/>
  <c r="AG45"/>
  <c r="AG86"/>
  <c r="AG36"/>
  <c r="AG92"/>
  <c r="AG37"/>
  <c r="AG10"/>
  <c r="AG16"/>
  <c r="AG102"/>
  <c r="AG63"/>
  <c r="AG13"/>
  <c r="AG11"/>
  <c r="AG51"/>
  <c r="AG55"/>
  <c r="AG68"/>
  <c r="AG80"/>
  <c r="AG66"/>
  <c r="AG78"/>
  <c r="AG79"/>
  <c r="AG52"/>
  <c r="AG24"/>
  <c r="AG50"/>
  <c r="AG17"/>
  <c r="AG81"/>
  <c r="AG42"/>
  <c r="AG31"/>
  <c r="AG20"/>
  <c r="AG83"/>
  <c r="AG34"/>
  <c r="AG49"/>
  <c r="AG48"/>
  <c r="AG99"/>
  <c r="AG44"/>
  <c r="AG59"/>
  <c r="AG101"/>
  <c r="AG89"/>
  <c r="AG65"/>
  <c r="AG61"/>
  <c r="AG88"/>
  <c r="AG30"/>
  <c r="AG47"/>
  <c r="AG58"/>
  <c r="AG40"/>
  <c r="AG104"/>
  <c r="AG22"/>
  <c r="AG93"/>
  <c r="AG26"/>
  <c r="AG14"/>
  <c r="AG67"/>
  <c r="AG32"/>
  <c r="AG62"/>
  <c r="AG73"/>
  <c r="AG82"/>
  <c r="AG98"/>
  <c r="AG85"/>
  <c r="AG60"/>
  <c r="AG87"/>
  <c r="AH104"/>
  <c r="AH25"/>
  <c r="AH51"/>
  <c r="AH61"/>
  <c r="AH32"/>
  <c r="AH97"/>
  <c r="AH76"/>
  <c r="AH62"/>
  <c r="AH34"/>
  <c r="AH38"/>
  <c r="AH103"/>
  <c r="AH11"/>
  <c r="AH55"/>
  <c r="AH19"/>
  <c r="AH69"/>
  <c r="AH48"/>
  <c r="AH18"/>
  <c r="AH29"/>
  <c r="AH102"/>
  <c r="AH22"/>
  <c r="AH95"/>
  <c r="AH43"/>
  <c r="AH72"/>
  <c r="AH68"/>
  <c r="AH77"/>
  <c r="AH57"/>
  <c r="AH50"/>
  <c r="AH37"/>
  <c r="AH33"/>
  <c r="AH30"/>
  <c r="AH17"/>
  <c r="AH84"/>
  <c r="AH80"/>
  <c r="AH66"/>
  <c r="AH20"/>
  <c r="AH93"/>
  <c r="AH73"/>
  <c r="AH27"/>
  <c r="AH53"/>
  <c r="AH59"/>
  <c r="AH54"/>
  <c r="AH98"/>
  <c r="AH23"/>
  <c r="AH96"/>
  <c r="AH16"/>
  <c r="AH99"/>
  <c r="AH28"/>
  <c r="AH40"/>
  <c r="AH12"/>
  <c r="AH74"/>
  <c r="AH79"/>
  <c r="AH31"/>
  <c r="AH82"/>
  <c r="AH52"/>
  <c r="AH89"/>
  <c r="AH45"/>
  <c r="AH92"/>
  <c r="AH10"/>
  <c r="AH64"/>
  <c r="AH41"/>
  <c r="AH24"/>
  <c r="AH70"/>
  <c r="AH63"/>
  <c r="AH39"/>
  <c r="AH26"/>
  <c r="AH65"/>
  <c r="AH78"/>
  <c r="AH71"/>
  <c r="AH47"/>
  <c r="AH75"/>
  <c r="AH81"/>
  <c r="AH86"/>
  <c r="AH87"/>
  <c r="AH88"/>
  <c r="AH44"/>
  <c r="AH60"/>
  <c r="AH35"/>
  <c r="AH67"/>
  <c r="AH101"/>
  <c r="AH46"/>
  <c r="AH58"/>
  <c r="AH49"/>
  <c r="AH90"/>
  <c r="AH42"/>
  <c r="AH100"/>
  <c r="AH94"/>
  <c r="AH83"/>
  <c r="AH14"/>
  <c r="AH91"/>
  <c r="AH15"/>
  <c r="AH36"/>
  <c r="AH21"/>
  <c r="AH85"/>
  <c r="AH13"/>
  <c r="F27" i="17"/>
  <c r="F28"/>
  <c r="H28" s="1"/>
  <c r="G25"/>
  <c r="G97"/>
  <c r="F88"/>
  <c r="F91"/>
  <c r="H91" s="1"/>
  <c r="F4"/>
  <c r="H4" s="1"/>
  <c r="G30"/>
  <c r="F6"/>
  <c r="H6" s="1"/>
  <c r="F16"/>
  <c r="F73"/>
  <c r="H73" s="1"/>
  <c r="F18"/>
  <c r="F74"/>
  <c r="H74" s="1"/>
  <c r="G16"/>
  <c r="F7"/>
  <c r="H7" s="1"/>
  <c r="F30"/>
  <c r="H61"/>
  <c r="F92"/>
  <c r="G34"/>
  <c r="F12"/>
  <c r="H12" s="1"/>
  <c r="F36"/>
  <c r="F68"/>
  <c r="H68" s="1"/>
  <c r="G88"/>
  <c r="F15"/>
  <c r="H15" s="1"/>
  <c r="F39"/>
  <c r="F72"/>
  <c r="G51"/>
  <c r="G94"/>
  <c r="F25"/>
  <c r="F38"/>
  <c r="F51"/>
  <c r="F71"/>
  <c r="F84"/>
  <c r="G89"/>
  <c r="F9"/>
  <c r="H9" s="1"/>
  <c r="F19"/>
  <c r="H19" s="1"/>
  <c r="F31"/>
  <c r="H62"/>
  <c r="F78"/>
  <c r="H78" s="1"/>
  <c r="F93"/>
  <c r="G17"/>
  <c r="G35"/>
  <c r="G58"/>
  <c r="F10"/>
  <c r="H10" s="1"/>
  <c r="F20"/>
  <c r="H20" s="1"/>
  <c r="F80"/>
  <c r="H80" s="1"/>
  <c r="G84"/>
  <c r="F11"/>
  <c r="H11" s="1"/>
  <c r="F34"/>
  <c r="F64"/>
  <c r="H64" s="1"/>
  <c r="F81"/>
  <c r="G24"/>
  <c r="G42"/>
  <c r="G86"/>
  <c r="F8"/>
  <c r="H8" s="1"/>
  <c r="F17"/>
  <c r="F26"/>
  <c r="H26" s="1"/>
  <c r="F35"/>
  <c r="F59"/>
  <c r="F70"/>
  <c r="H70" s="1"/>
  <c r="F79"/>
  <c r="H79" s="1"/>
  <c r="F89"/>
  <c r="G85"/>
  <c r="G95"/>
  <c r="F95"/>
  <c r="G18"/>
  <c r="G36"/>
  <c r="G59"/>
  <c r="G71"/>
  <c r="F65"/>
  <c r="H65" s="1"/>
  <c r="F75"/>
  <c r="H75" s="1"/>
  <c r="F86"/>
  <c r="F96"/>
  <c r="G72"/>
  <c r="G81"/>
  <c r="H81" s="1"/>
  <c r="G92"/>
  <c r="F24"/>
  <c r="F33"/>
  <c r="H33" s="1"/>
  <c r="F42"/>
  <c r="F66"/>
  <c r="H66" s="1"/>
  <c r="F77"/>
  <c r="H77" s="1"/>
  <c r="F87"/>
  <c r="F97"/>
  <c r="G29"/>
  <c r="G38"/>
  <c r="G93"/>
  <c r="F5"/>
  <c r="H5" s="1"/>
  <c r="F13"/>
  <c r="H13" s="1"/>
  <c r="F21"/>
  <c r="F29"/>
  <c r="F58"/>
  <c r="F67"/>
  <c r="H67" s="1"/>
  <c r="F76"/>
  <c r="H76" s="1"/>
  <c r="F85"/>
  <c r="F94"/>
  <c r="G31"/>
  <c r="G39"/>
  <c r="G87"/>
  <c r="G96"/>
  <c r="H135" i="12"/>
  <c r="G130"/>
  <c r="H234"/>
  <c r="G132"/>
  <c r="G131"/>
  <c r="F152"/>
  <c r="H231"/>
  <c r="G218"/>
  <c r="G217"/>
  <c r="F110"/>
  <c r="H216"/>
  <c r="G226"/>
  <c r="F121"/>
  <c r="F122"/>
  <c r="F213"/>
  <c r="F107"/>
  <c r="F166"/>
  <c r="F55"/>
  <c r="F56"/>
  <c r="G153"/>
  <c r="G156"/>
  <c r="G157"/>
  <c r="G154"/>
  <c r="F237"/>
  <c r="F138"/>
  <c r="F139"/>
  <c r="G235"/>
  <c r="G230"/>
  <c r="F129"/>
  <c r="H161"/>
  <c r="G170"/>
  <c r="F135"/>
  <c r="G116"/>
  <c r="F238"/>
  <c r="F111"/>
  <c r="F130"/>
  <c r="G139"/>
  <c r="H235"/>
  <c r="G138"/>
  <c r="H179"/>
  <c r="H212"/>
  <c r="H52"/>
  <c r="H180"/>
  <c r="H168"/>
  <c r="H177"/>
  <c r="H211"/>
  <c r="H178"/>
  <c r="H113"/>
  <c r="F240"/>
  <c r="F119"/>
  <c r="F153"/>
  <c r="G242"/>
  <c r="F221"/>
  <c r="G115"/>
  <c r="G155"/>
  <c r="H149"/>
  <c r="H146"/>
  <c r="H147"/>
  <c r="H148"/>
  <c r="F232"/>
  <c r="F233"/>
  <c r="F243"/>
  <c r="F216"/>
  <c r="G229"/>
  <c r="H153"/>
  <c r="H130"/>
  <c r="F236"/>
  <c r="F142"/>
  <c r="F219"/>
  <c r="F220"/>
  <c r="F222"/>
  <c r="F141"/>
  <c r="G232"/>
  <c r="F167"/>
  <c r="G233"/>
  <c r="F145"/>
  <c r="F143"/>
  <c r="F144"/>
  <c r="G216"/>
  <c r="H190" s="1"/>
  <c r="H229"/>
  <c r="H133"/>
  <c r="H134"/>
  <c r="F235"/>
  <c r="F244"/>
  <c r="F234"/>
  <c r="F177"/>
  <c r="F193"/>
  <c r="G225"/>
  <c r="F196"/>
  <c r="F179"/>
  <c r="F113"/>
  <c r="F52"/>
  <c r="F180"/>
  <c r="F168"/>
  <c r="F178"/>
  <c r="F194"/>
  <c r="F212"/>
  <c r="F211"/>
  <c r="G231"/>
  <c r="F218"/>
  <c r="F217"/>
  <c r="F161"/>
  <c r="F128"/>
  <c r="G151"/>
  <c r="H55"/>
  <c r="H56"/>
  <c r="F228"/>
  <c r="F227"/>
  <c r="F140"/>
  <c r="F163"/>
  <c r="G237"/>
  <c r="G243"/>
  <c r="F137"/>
  <c r="H236"/>
  <c r="G126"/>
  <c r="H240"/>
  <c r="G133"/>
  <c r="G134"/>
  <c r="H166"/>
  <c r="H121"/>
  <c r="H122"/>
  <c r="H107"/>
  <c r="H213"/>
  <c r="H118"/>
  <c r="H117"/>
  <c r="H112"/>
  <c r="F225"/>
  <c r="F120"/>
  <c r="G238"/>
  <c r="F109"/>
  <c r="G211"/>
  <c r="H185" s="1"/>
  <c r="G177"/>
  <c r="G212"/>
  <c r="H186" s="1"/>
  <c r="H225"/>
  <c r="G180"/>
  <c r="G113"/>
  <c r="G186"/>
  <c r="G179"/>
  <c r="G192"/>
  <c r="G185"/>
  <c r="G168"/>
  <c r="G52"/>
  <c r="G178"/>
  <c r="G191"/>
  <c r="G190"/>
  <c r="H239"/>
  <c r="G147"/>
  <c r="G149"/>
  <c r="G146"/>
  <c r="G148"/>
  <c r="H244"/>
  <c r="H127"/>
  <c r="F231"/>
  <c r="F242"/>
  <c r="F215"/>
  <c r="F189" s="1"/>
  <c r="F125"/>
  <c r="F123"/>
  <c r="G228"/>
  <c r="F214"/>
  <c r="F188" s="1"/>
  <c r="F124"/>
  <c r="F117"/>
  <c r="F118"/>
  <c r="F155"/>
  <c r="G244"/>
  <c r="G150"/>
  <c r="G162"/>
  <c r="G136"/>
  <c r="H215"/>
  <c r="H214"/>
  <c r="H125"/>
  <c r="H123"/>
  <c r="H124"/>
  <c r="H129"/>
  <c r="F226"/>
  <c r="F229"/>
  <c r="F239"/>
  <c r="F169"/>
  <c r="F114"/>
  <c r="F230"/>
  <c r="G236"/>
  <c r="F151"/>
  <c r="G227"/>
  <c r="F127"/>
  <c r="F134"/>
  <c r="F133"/>
  <c r="G240"/>
  <c r="G107"/>
  <c r="G122"/>
  <c r="G213"/>
  <c r="G187" s="1"/>
  <c r="G166"/>
  <c r="H226"/>
  <c r="G121"/>
  <c r="G118"/>
  <c r="G117"/>
  <c r="G56"/>
  <c r="G55"/>
  <c r="H245"/>
  <c r="H120"/>
  <c r="H163"/>
  <c r="H140"/>
  <c r="H152"/>
  <c r="H159"/>
  <c r="H160"/>
  <c r="H158"/>
  <c r="H221"/>
  <c r="H128"/>
  <c r="H137"/>
  <c r="G128"/>
  <c r="H217"/>
  <c r="H191" s="1"/>
  <c r="H218"/>
  <c r="H192" s="1"/>
  <c r="H162"/>
  <c r="H131"/>
  <c r="H132"/>
  <c r="G245"/>
  <c r="F136"/>
  <c r="G120"/>
  <c r="G140"/>
  <c r="H237"/>
  <c r="G163"/>
  <c r="G152"/>
  <c r="H169"/>
  <c r="H114"/>
  <c r="G159"/>
  <c r="G160"/>
  <c r="G158"/>
  <c r="H243"/>
  <c r="H115"/>
  <c r="H220"/>
  <c r="H219"/>
  <c r="H167"/>
  <c r="H143"/>
  <c r="H222"/>
  <c r="H141"/>
  <c r="H144"/>
  <c r="H145"/>
  <c r="H142"/>
  <c r="H150"/>
  <c r="H155"/>
  <c r="F150"/>
  <c r="F157"/>
  <c r="F154"/>
  <c r="F156"/>
  <c r="F162"/>
  <c r="G215"/>
  <c r="G189" s="1"/>
  <c r="H228"/>
  <c r="G124"/>
  <c r="G123"/>
  <c r="G214"/>
  <c r="G188" s="1"/>
  <c r="G125"/>
  <c r="H238"/>
  <c r="G161"/>
  <c r="H230"/>
  <c r="G129"/>
  <c r="G135"/>
  <c r="H170"/>
  <c r="H116"/>
  <c r="G137"/>
  <c r="H119"/>
  <c r="H138"/>
  <c r="H139"/>
  <c r="H151"/>
  <c r="H126"/>
  <c r="H136"/>
  <c r="F245"/>
  <c r="F170"/>
  <c r="F116"/>
  <c r="F115"/>
  <c r="F147"/>
  <c r="F146"/>
  <c r="F149"/>
  <c r="G239"/>
  <c r="F148"/>
  <c r="F159"/>
  <c r="F160"/>
  <c r="G169"/>
  <c r="G114"/>
  <c r="F158"/>
  <c r="F108"/>
  <c r="F126"/>
  <c r="G234"/>
  <c r="F131"/>
  <c r="F132"/>
  <c r="G119"/>
  <c r="G143"/>
  <c r="H232"/>
  <c r="G144"/>
  <c r="G142"/>
  <c r="G145"/>
  <c r="G220"/>
  <c r="G194" s="1"/>
  <c r="G167"/>
  <c r="G222"/>
  <c r="G196" s="1"/>
  <c r="H233"/>
  <c r="G141"/>
  <c r="G219"/>
  <c r="G193" s="1"/>
  <c r="G221"/>
  <c r="G195" s="1"/>
  <c r="H242"/>
  <c r="G127"/>
  <c r="H227"/>
  <c r="H156"/>
  <c r="H157"/>
  <c r="H154"/>
  <c r="F3" i="17"/>
  <c r="F48" s="1"/>
  <c r="F44"/>
  <c r="F45"/>
  <c r="G14"/>
  <c r="G44"/>
  <c r="H44" s="1"/>
  <c r="G3"/>
  <c r="G45"/>
  <c r="H45" s="1"/>
  <c r="F14"/>
  <c r="G23"/>
  <c r="H23" s="1"/>
  <c r="F32"/>
  <c r="G32"/>
  <c r="H32" s="1"/>
  <c r="F23"/>
  <c r="F63"/>
  <c r="H63" s="1"/>
  <c r="F209" i="12"/>
  <c r="F204"/>
  <c r="F206"/>
  <c r="F208"/>
  <c r="F205"/>
  <c r="F207"/>
  <c r="H208"/>
  <c r="H207"/>
  <c r="H204"/>
  <c r="H209"/>
  <c r="H205"/>
  <c r="G203"/>
  <c r="G201"/>
  <c r="G198"/>
  <c r="G200"/>
  <c r="G202"/>
  <c r="G199"/>
  <c r="F202"/>
  <c r="F200"/>
  <c r="F201"/>
  <c r="F203"/>
  <c r="F199"/>
  <c r="F198"/>
  <c r="H201"/>
  <c r="H203"/>
  <c r="H199"/>
  <c r="H200"/>
  <c r="H198"/>
  <c r="H202"/>
  <c r="G207"/>
  <c r="G204"/>
  <c r="G206"/>
  <c r="G209"/>
  <c r="G208"/>
  <c r="G205"/>
  <c r="F53" i="17"/>
  <c r="F22"/>
  <c r="F41"/>
  <c r="F50"/>
  <c r="F52"/>
  <c r="F49"/>
  <c r="F47"/>
  <c r="G22"/>
  <c r="G40"/>
  <c r="G52"/>
  <c r="G47"/>
  <c r="G83"/>
  <c r="G41"/>
  <c r="G53"/>
  <c r="G49"/>
  <c r="G50"/>
  <c r="G48"/>
  <c r="H206" i="12" l="1"/>
  <c r="H3" i="17"/>
  <c r="H27"/>
  <c r="H29"/>
  <c r="H21"/>
  <c r="H14"/>
  <c r="E32"/>
  <c r="E14"/>
  <c r="H37"/>
  <c r="E3"/>
  <c r="E44"/>
  <c r="H196" i="12"/>
  <c r="H194"/>
  <c r="F191"/>
  <c r="F186"/>
  <c r="AE103" i="8"/>
  <c r="AE12"/>
  <c r="AE104"/>
  <c r="AE98"/>
  <c r="AE97"/>
  <c r="AE93"/>
  <c r="AE10"/>
  <c r="AE55"/>
  <c r="AE91"/>
  <c r="AE11"/>
  <c r="AE83"/>
  <c r="AE41"/>
  <c r="AE20"/>
  <c r="AE30"/>
  <c r="AH56"/>
  <c r="AF56"/>
  <c r="AD56"/>
  <c r="AB56"/>
  <c r="Z56"/>
  <c r="X56"/>
  <c r="V56"/>
  <c r="T56"/>
  <c r="R56"/>
  <c r="P56"/>
  <c r="N56"/>
  <c r="L56"/>
  <c r="J56"/>
  <c r="H56"/>
  <c r="F56"/>
  <c r="H193" i="12"/>
  <c r="H195"/>
  <c r="H187"/>
  <c r="F192"/>
  <c r="F185"/>
  <c r="F195"/>
  <c r="F187"/>
  <c r="F190"/>
  <c r="H188"/>
  <c r="H189"/>
  <c r="F40" i="17"/>
  <c r="E52" l="1"/>
  <c r="E50"/>
  <c r="E48"/>
  <c r="E22"/>
  <c r="E53"/>
  <c r="E49"/>
  <c r="E47"/>
  <c r="E40"/>
  <c r="E41" l="1"/>
</calcChain>
</file>

<file path=xl/sharedStrings.xml><?xml version="1.0" encoding="utf-8"?>
<sst xmlns="http://schemas.openxmlformats.org/spreadsheetml/2006/main" count="2483" uniqueCount="478">
  <si>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</si>
  <si>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</si>
  <si>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</si>
  <si>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</si>
  <si>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</si>
  <si>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</si>
  <si>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</si>
  <si>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</si>
  <si>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</si>
  <si>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</si>
  <si>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</si>
  <si>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</si>
  <si>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</si>
  <si>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</si>
  <si>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</si>
  <si>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</si>
  <si>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</si>
  <si>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</si>
  <si>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</si>
  <si>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</si>
  <si>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</si>
  <si>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</si>
  <si>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</si>
  <si>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</si>
  <si>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</si>
  <si>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</si>
  <si>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</si>
  <si>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</si>
  <si>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</si>
  <si>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</si>
  <si>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</si>
  <si>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</si>
  <si>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</si>
  <si>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</si>
  <si>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</si>
  <si>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</si>
  <si>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</si>
  <si>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</si>
  <si>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</si>
  <si>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</si>
  <si>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</si>
  <si>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</si>
  <si>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</si>
  <si>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</si>
  <si>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</si>
  <si>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</si>
  <si>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</si>
  <si>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</si>
  <si>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</si>
  <si>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</si>
  <si>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</si>
  <si>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</si>
  <si>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</si>
  <si>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</si>
  <si>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</si>
  <si>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</si>
  <si>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</si>
  <si>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</si>
  <si>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</si>
  <si>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</si>
  <si>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</si>
  <si>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</si>
  <si>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</si>
  <si>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</si>
  <si>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</si>
  <si>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</si>
  <si>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</si>
  <si>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</si>
  <si>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</si>
  <si>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</si>
  <si>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</si>
  <si>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</si>
  <si>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</si>
  <si>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</si>
  <si>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</si>
  <si>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</si>
  <si>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</si>
  <si>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</si>
  <si>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</si>
  <si>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</si>
  <si>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</si>
  <si>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</si>
  <si>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</si>
  <si>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</si>
  <si>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</si>
  <si>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</si>
  <si>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</si>
  <si>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</si>
  <si>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</si>
  <si>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</si>
  <si>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</si>
  <si>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</si>
  <si>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</si>
  <si>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</si>
  <si>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</si>
  <si>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</si>
  <si>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</si>
  <si>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</si>
  <si>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</si>
  <si>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</si>
  <si>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</si>
  <si>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</si>
  <si>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</si>
  <si>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</si>
  <si>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</si>
  <si>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</si>
  <si>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</si>
  <si>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</si>
  <si>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</si>
  <si>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</si>
  <si>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</si>
  <si>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</si>
  <si>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</si>
  <si>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</si>
  <si>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</si>
  <si>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</si>
  <si>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</si>
  <si>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</si>
  <si>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</si>
  <si>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</si>
  <si>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</si>
  <si>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</si>
  <si>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</si>
  <si>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</si>
  <si>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</si>
  <si>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</si>
  <si>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</si>
  <si>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</si>
  <si>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</si>
  <si>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</si>
  <si>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</si>
  <si>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</si>
  <si>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</si>
  <si>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</si>
  <si>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</si>
  <si>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</si>
  <si>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</si>
  <si>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</si>
  <si>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</si>
  <si>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</si>
  <si>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</si>
  <si>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</si>
  <si>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</si>
  <si>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</si>
  <si>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</si>
  <si>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</si>
  <si>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</si>
  <si>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</si>
  <si>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</si>
  <si>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</si>
  <si>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</si>
  <si>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</si>
  <si>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</si>
  <si>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</si>
  <si>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</si>
  <si>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</si>
  <si>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</si>
  <si>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</si>
  <si>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</si>
  <si>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</si>
  <si>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</si>
  <si>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</si>
  <si>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</si>
  <si>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</si>
  <si>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</si>
  <si>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</si>
  <si>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</si>
  <si>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</si>
  <si>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</si>
  <si>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</si>
  <si>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</si>
  <si>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</si>
  <si>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</si>
  <si>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</si>
  <si>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</si>
  <si>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</si>
  <si>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</si>
  <si>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</si>
  <si>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</si>
  <si>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</si>
  <si>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</si>
  <si>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</si>
  <si>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</si>
  <si>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</si>
  <si>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</si>
  <si>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</si>
  <si>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</si>
  <si>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</si>
  <si>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</si>
  <si>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</si>
  <si>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</si>
  <si>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</si>
  <si>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</si>
  <si>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</si>
  <si>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</si>
  <si>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</si>
  <si>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</si>
  <si>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</si>
  <si>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</si>
  <si>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</si>
  <si>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</si>
  <si>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</si>
  <si>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</si>
  <si>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</si>
  <si>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</si>
  <si>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</si>
  <si>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</si>
  <si>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</si>
  <si>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</si>
  <si>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</si>
  <si>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</si>
  <si>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</si>
  <si>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</si>
  <si>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</si>
  <si>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</si>
  <si>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</si>
  <si>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</si>
  <si>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</si>
  <si>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</si>
  <si>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</si>
  <si>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</si>
  <si>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</si>
  <si>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</si>
  <si>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</si>
  <si>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</si>
  <si>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</si>
  <si>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</si>
  <si>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</si>
  <si>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</si>
  <si>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</si>
  <si>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</si>
  <si>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</si>
  <si>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</si>
  <si>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</si>
  <si>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</si>
  <si>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</si>
  <si>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</si>
  <si>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</si>
  <si>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</si>
  <si>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</si>
  <si>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</si>
  <si>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</si>
  <si>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</si>
  <si>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</si>
  <si>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</si>
  <si>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</si>
  <si>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</si>
  <si>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</si>
  <si>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</si>
  <si>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</si>
  <si>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</si>
  <si>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</si>
  <si>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</si>
  <si>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</si>
  <si>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</si>
  <si>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</si>
  <si>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</si>
  <si>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</si>
  <si>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</si>
  <si>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</si>
  <si>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</si>
  <si>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</si>
  <si>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</si>
  <si>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</si>
  <si>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</si>
  <si>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</si>
  <si>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</si>
  <si>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</si>
  <si>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</si>
  <si>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</si>
  <si>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</si>
  <si>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</si>
  <si>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</si>
  <si>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</si>
  <si>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</si>
  <si>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</si>
  <si>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</si>
  <si>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</si>
  <si>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</si>
  <si>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</si>
  <si>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</si>
  <si>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</si>
  <si>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</si>
  <si>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</si>
  <si>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</si>
  <si>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</si>
  <si>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</si>
  <si>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</si>
  <si>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</si>
  <si>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</si>
  <si>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</si>
  <si>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</si>
  <si>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</si>
  <si>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</si>
  <si>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</si>
  <si>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</si>
  <si>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</si>
  <si>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</si>
  <si>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</si>
  <si>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</si>
  <si>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</si>
  <si>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</si>
  <si>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</si>
  <si>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</si>
  <si>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</si>
  <si>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</si>
  <si>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</si>
  <si>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</si>
  <si>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</si>
  <si>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</si>
  <si>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</si>
  <si>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</si>
  <si>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</si>
  <si>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</si>
  <si>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</si>
  <si>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</si>
  <si>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</si>
  <si>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</si>
  <si>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</si>
  <si>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</si>
  <si>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</si>
  <si>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</si>
  <si>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</si>
  <si>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</si>
  <si>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</si>
  <si>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</si>
  <si>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</si>
  <si>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</si>
  <si>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</si>
  <si>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</si>
  <si>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</si>
  <si>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</si>
  <si>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</si>
  <si>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</si>
  <si>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</si>
  <si>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</si>
  <si>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</si>
  <si>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</si>
  <si>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</si>
  <si>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</si>
  <si>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</si>
  <si>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</si>
  <si>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</si>
  <si>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</si>
  <si>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</si>
  <si>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</si>
  <si>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</si>
  <si>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</si>
  <si>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</si>
  <si>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</si>
  <si>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</si>
  <si>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</si>
  <si>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</si>
  <si>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</si>
  <si>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</si>
  <si>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</si>
  <si>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</si>
  <si>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</si>
  <si>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</si>
  <si>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</si>
  <si>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</si>
  <si>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</si>
  <si>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</si>
  <si>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</si>
  <si>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</si>
  <si>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</si>
  <si>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</si>
  <si>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</si>
  <si>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</si>
  <si>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</si>
  <si>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</si>
  <si>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</si>
  <si>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</si>
  <si>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</si>
  <si>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</si>
  <si>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</si>
  <si>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</si>
  <si>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</si>
  <si>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</si>
  <si>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</si>
  <si>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</si>
  <si>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</si>
  <si>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</si>
  <si>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</si>
  <si>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</si>
  <si>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</si>
  <si>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</si>
  <si>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</si>
  <si>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</si>
  <si>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</si>
  <si>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</si>
  <si>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</si>
  <si>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</si>
  <si>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</si>
  <si>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</si>
  <si>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</si>
  <si>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</si>
  <si>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</si>
  <si>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</si>
  <si>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</si>
  <si>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</si>
  <si>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</si>
  <si>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</si>
  <si>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</si>
  <si>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</si>
  <si>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</si>
  <si>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</si>
  <si>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</si>
  <si>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</si>
  <si>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</si>
  <si>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</si>
  <si>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</si>
  <si>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</si>
  <si>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Do symulacji prognozy i obserwacji zmian wskaźników z art. 243, 169 i 170 na podstawie danych wprowadzanych ręcznie służy arkusz "WPF_AnalizaWsk_Projektowanie"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</si>
  <si>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</si>
  <si>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</si>
  <si>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</si>
  <si>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</si>
  <si>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 xml:space="preserve">kwota wyłączeń z ograniczeń długu określonych w art. 170 ust. 3 ufp z 2005 r.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</si>
  <si>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</si>
  <si>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</si>
  <si>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</si>
  <si>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</si>
  <si>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</si>
  <si>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</si>
  <si>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</si>
  <si>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</si>
  <si>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Wyliczenie zobowiązań wynikających z przejęcia przez jst zobowiązań po likwidowanych i przekształcanych SZOZ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</si>
  <si>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</si>
  <si>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</si>
  <si>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</si>
  <si>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</si>
  <si>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</si>
  <si>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</si>
  <si>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</si>
  <si>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</si>
  <si>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</si>
  <si>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</si>
  <si>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</si>
  <si>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</si>
  <si>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</si>
  <si>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</si>
  <si>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</si>
  <si>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</si>
  <si>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</si>
  <si>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</si>
  <si>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</si>
  <si>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</si>
  <si>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</si>
  <si>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17/2013</t>
  </si>
  <si>
    <t>KOWIESY</t>
  </si>
  <si>
    <t>[1] -[2]</t>
  </si>
  <si>
    <t>[9.6] - [9.7.1]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</si>
  <si>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</si>
  <si>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</si>
  <si>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</si>
  <si>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[9.6] - [9.7]</t>
  </si>
  <si>
    <t>[1.1] + [1.2]</t>
  </si>
  <si>
    <t>([2.1.1] + [2.1.3.1] + [5.1] - [5.1.1] ) / [1]</t>
  </si>
  <si>
    <t>([6] - [6.1]) / [1]</t>
  </si>
  <si>
    <t>[6] / [1]</t>
  </si>
  <si>
    <t>[1.1] - [2.1]</t>
  </si>
  <si>
    <t>[1.1] + [4.1] + [4.2] - (  [2.1] - [2.1.2]  )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</si>
  <si>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</si>
  <si>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[2.1] + [2.2]</t>
  </si>
  <si>
    <t>([2.1.1]+[2.1.3.1] + [5.1]+[9.5]-[5.1.1] )/[1]</t>
  </si>
  <si>
    <t>[5.1] + [5.2]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</si>
  <si>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</si>
  <si>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</si>
  <si>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[11.3.1] + [11.3.2]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</si>
  <si>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</si>
  <si>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</si>
  <si>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Plan na 01.01.2013</t>
  </si>
  <si>
    <t>Plan po zmianach na 30.06.2013</t>
  </si>
  <si>
    <t>Wykonanie na 30.06.2013</t>
  </si>
  <si>
    <t>% wykonania</t>
  </si>
  <si>
    <t>INFORMACJA O KSZTAŁTOWANIU SIĘ WIELOLETNIEJ PROGNOZY FINANSOWEJ ZA PIERWSZE PÓŁROCZE 2013 ROKU</t>
  </si>
  <si>
    <t>Spełnia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</si>
</sst>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%"/>
    <numFmt numFmtId="166" formatCode="0.00%;[Red]\-0.00%"/>
  </numFmts>
  <fonts count="7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000000"/>
      <name val="Czcionka tekstu podstawowego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9FF77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64"/>
      </top>
      <bottom/>
      <diagonal/>
    </border>
  </borders>
  <cellStyleXfs count="106">
    <xf numFmtId="0" fontId="0" fillId="0" borderId="0"/>
    <xf numFmtId="0" fontId="1" fillId="2" borderId="0" applyNumberFormat="0" applyBorder="0" applyAlignment="0" applyProtection="0"/>
    <xf numFmtId="0" fontId="38" fillId="25" borderId="0" applyNumberFormat="0" applyBorder="0" applyAlignment="0" applyProtection="0"/>
    <xf numFmtId="0" fontId="1" fillId="3" borderId="0" applyNumberFormat="0" applyBorder="0" applyAlignment="0" applyProtection="0"/>
    <xf numFmtId="0" fontId="38" fillId="26" borderId="0" applyNumberFormat="0" applyBorder="0" applyAlignment="0" applyProtection="0"/>
    <xf numFmtId="0" fontId="1" fillId="4" borderId="0" applyNumberFormat="0" applyBorder="0" applyAlignment="0" applyProtection="0"/>
    <xf numFmtId="0" fontId="38" fillId="27" borderId="0" applyNumberFormat="0" applyBorder="0" applyAlignment="0" applyProtection="0"/>
    <xf numFmtId="0" fontId="1" fillId="5" borderId="0" applyNumberFormat="0" applyBorder="0" applyAlignment="0" applyProtection="0"/>
    <xf numFmtId="0" fontId="38" fillId="28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1" fillId="7" borderId="0" applyNumberFormat="0" applyBorder="0" applyAlignment="0" applyProtection="0"/>
    <xf numFmtId="0" fontId="38" fillId="30" borderId="0" applyNumberFormat="0" applyBorder="0" applyAlignment="0" applyProtection="0"/>
    <xf numFmtId="0" fontId="1" fillId="8" borderId="0" applyNumberFormat="0" applyBorder="0" applyAlignment="0" applyProtection="0"/>
    <xf numFmtId="0" fontId="38" fillId="31" borderId="0" applyNumberFormat="0" applyBorder="0" applyAlignment="0" applyProtection="0"/>
    <xf numFmtId="0" fontId="1" fillId="9" borderId="0" applyNumberFormat="0" applyBorder="0" applyAlignment="0" applyProtection="0"/>
    <xf numFmtId="0" fontId="38" fillId="32" borderId="0" applyNumberFormat="0" applyBorder="0" applyAlignment="0" applyProtection="0"/>
    <xf numFmtId="0" fontId="1" fillId="10" borderId="0" applyNumberFormat="0" applyBorder="0" applyAlignment="0" applyProtection="0"/>
    <xf numFmtId="0" fontId="38" fillId="33" borderId="0" applyNumberFormat="0" applyBorder="0" applyAlignment="0" applyProtection="0"/>
    <xf numFmtId="0" fontId="1" fillId="5" borderId="0" applyNumberFormat="0" applyBorder="0" applyAlignment="0" applyProtection="0"/>
    <xf numFmtId="0" fontId="38" fillId="34" borderId="0" applyNumberFormat="0" applyBorder="0" applyAlignment="0" applyProtection="0"/>
    <xf numFmtId="0" fontId="1" fillId="8" borderId="0" applyNumberFormat="0" applyBorder="0" applyAlignment="0" applyProtection="0"/>
    <xf numFmtId="0" fontId="38" fillId="35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11" fillId="12" borderId="0" applyNumberFormat="0" applyBorder="0" applyAlignment="0" applyProtection="0"/>
    <xf numFmtId="0" fontId="39" fillId="37" borderId="0" applyNumberFormat="0" applyBorder="0" applyAlignment="0" applyProtection="0"/>
    <xf numFmtId="0" fontId="11" fillId="9" borderId="0" applyNumberFormat="0" applyBorder="0" applyAlignment="0" applyProtection="0"/>
    <xf numFmtId="0" fontId="39" fillId="38" borderId="0" applyNumberFormat="0" applyBorder="0" applyAlignment="0" applyProtection="0"/>
    <xf numFmtId="0" fontId="11" fillId="10" borderId="0" applyNumberFormat="0" applyBorder="0" applyAlignment="0" applyProtection="0"/>
    <xf numFmtId="0" fontId="39" fillId="39" borderId="0" applyNumberFormat="0" applyBorder="0" applyAlignment="0" applyProtection="0"/>
    <xf numFmtId="0" fontId="11" fillId="13" borderId="0" applyNumberFormat="0" applyBorder="0" applyAlignment="0" applyProtection="0"/>
    <xf numFmtId="0" fontId="39" fillId="40" borderId="0" applyNumberFormat="0" applyBorder="0" applyAlignment="0" applyProtection="0"/>
    <xf numFmtId="0" fontId="11" fillId="14" borderId="0" applyNumberFormat="0" applyBorder="0" applyAlignment="0" applyProtection="0"/>
    <xf numFmtId="0" fontId="39" fillId="41" borderId="0" applyNumberFormat="0" applyBorder="0" applyAlignment="0" applyProtection="0"/>
    <xf numFmtId="0" fontId="11" fillId="15" borderId="0" applyNumberFormat="0" applyBorder="0" applyAlignment="0" applyProtection="0"/>
    <xf numFmtId="0" fontId="39" fillId="42" borderId="0" applyNumberFormat="0" applyBorder="0" applyAlignment="0" applyProtection="0"/>
    <xf numFmtId="0" fontId="11" fillId="16" borderId="0" applyNumberFormat="0" applyBorder="0" applyAlignment="0" applyProtection="0"/>
    <xf numFmtId="0" fontId="39" fillId="43" borderId="0" applyNumberFormat="0" applyBorder="0" applyAlignment="0" applyProtection="0"/>
    <xf numFmtId="0" fontId="11" fillId="17" borderId="0" applyNumberFormat="0" applyBorder="0" applyAlignment="0" applyProtection="0"/>
    <xf numFmtId="0" fontId="39" fillId="44" borderId="0" applyNumberFormat="0" applyBorder="0" applyAlignment="0" applyProtection="0"/>
    <xf numFmtId="0" fontId="11" fillId="18" borderId="0" applyNumberFormat="0" applyBorder="0" applyAlignment="0" applyProtection="0"/>
    <xf numFmtId="0" fontId="39" fillId="45" borderId="0" applyNumberFormat="0" applyBorder="0" applyAlignment="0" applyProtection="0"/>
    <xf numFmtId="0" fontId="11" fillId="13" borderId="0" applyNumberFormat="0" applyBorder="0" applyAlignment="0" applyProtection="0"/>
    <xf numFmtId="0" fontId="39" fillId="46" borderId="0" applyNumberFormat="0" applyBorder="0" applyAlignment="0" applyProtection="0"/>
    <xf numFmtId="0" fontId="11" fillId="14" borderId="0" applyNumberFormat="0" applyBorder="0" applyAlignment="0" applyProtection="0"/>
    <xf numFmtId="0" fontId="39" fillId="47" borderId="0" applyNumberFormat="0" applyBorder="0" applyAlignment="0" applyProtection="0"/>
    <xf numFmtId="0" fontId="11" fillId="19" borderId="0" applyNumberFormat="0" applyBorder="0" applyAlignment="0" applyProtection="0"/>
    <xf numFmtId="0" fontId="39" fillId="48" borderId="0" applyNumberFormat="0" applyBorder="0" applyAlignment="0" applyProtection="0"/>
    <xf numFmtId="0" fontId="12" fillId="7" borderId="1" applyNumberFormat="0" applyAlignment="0" applyProtection="0"/>
    <xf numFmtId="0" fontId="40" fillId="49" borderId="37" applyNumberFormat="0" applyAlignment="0" applyProtection="0"/>
    <xf numFmtId="0" fontId="13" fillId="20" borderId="2" applyNumberFormat="0" applyAlignment="0" applyProtection="0"/>
    <xf numFmtId="0" fontId="41" fillId="50" borderId="38" applyNumberFormat="0" applyAlignment="0" applyProtection="0"/>
    <xf numFmtId="0" fontId="14" fillId="4" borderId="0" applyNumberFormat="0" applyBorder="0" applyAlignment="0" applyProtection="0"/>
    <xf numFmtId="0" fontId="42" fillId="51" borderId="0" applyNumberFormat="0" applyBorder="0" applyAlignment="0" applyProtection="0"/>
    <xf numFmtId="0" fontId="15" fillId="0" borderId="3" applyNumberFormat="0" applyFill="0" applyAlignment="0" applyProtection="0"/>
    <xf numFmtId="0" fontId="43" fillId="0" borderId="39" applyNumberFormat="0" applyFill="0" applyAlignment="0" applyProtection="0"/>
    <xf numFmtId="0" fontId="16" fillId="21" borderId="4" applyNumberFormat="0" applyAlignment="0" applyProtection="0"/>
    <xf numFmtId="0" fontId="44" fillId="52" borderId="40" applyNumberFormat="0" applyAlignment="0" applyProtection="0"/>
    <xf numFmtId="0" fontId="17" fillId="0" borderId="5" applyNumberFormat="0" applyFill="0" applyAlignment="0" applyProtection="0"/>
    <xf numFmtId="0" fontId="45" fillId="0" borderId="41" applyNumberFormat="0" applyFill="0" applyAlignment="0" applyProtection="0"/>
    <xf numFmtId="0" fontId="18" fillId="0" borderId="6" applyNumberFormat="0" applyFill="0" applyAlignment="0" applyProtection="0"/>
    <xf numFmtId="0" fontId="46" fillId="0" borderId="42" applyNumberFormat="0" applyFill="0" applyAlignment="0" applyProtection="0"/>
    <xf numFmtId="0" fontId="19" fillId="0" borderId="7" applyNumberFormat="0" applyFill="0" applyAlignment="0" applyProtection="0"/>
    <xf numFmtId="0" fontId="47" fillId="0" borderId="43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8" fillId="53" borderId="0" applyNumberFormat="0" applyBorder="0" applyAlignment="0" applyProtection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7" fillId="0" borderId="0"/>
    <xf numFmtId="0" fontId="6" fillId="0" borderId="0"/>
    <xf numFmtId="0" fontId="38" fillId="0" borderId="0"/>
    <xf numFmtId="0" fontId="21" fillId="20" borderId="1" applyNumberFormat="0" applyAlignment="0" applyProtection="0"/>
    <xf numFmtId="0" fontId="49" fillId="50" borderId="37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8" applyNumberFormat="0" applyFill="0" applyAlignment="0" applyProtection="0"/>
    <xf numFmtId="0" fontId="51" fillId="0" borderId="44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8" fillId="54" borderId="45" applyNumberFormat="0" applyFont="0" applyAlignment="0" applyProtection="0"/>
    <xf numFmtId="0" fontId="26" fillId="3" borderId="0" applyNumberFormat="0" applyBorder="0" applyAlignment="0" applyProtection="0"/>
    <xf numFmtId="0" fontId="55" fillId="55" borderId="0" applyNumberFormat="0" applyBorder="0" applyAlignment="0" applyProtection="0"/>
  </cellStyleXfs>
  <cellXfs count="253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56" fillId="0" borderId="0" xfId="0" applyFont="1"/>
    <xf numFmtId="0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4" fillId="0" borderId="11" xfId="80" applyFont="1" applyFill="1" applyBorder="1" applyAlignment="1">
      <alignment vertical="center" wrapText="1"/>
    </xf>
    <xf numFmtId="0" fontId="3" fillId="0" borderId="12" xfId="80" applyFont="1" applyFill="1" applyBorder="1" applyAlignment="1">
      <alignment horizontal="left" vertical="center" wrapText="1" indent="1"/>
    </xf>
    <xf numFmtId="0" fontId="3" fillId="0" borderId="12" xfId="80" applyFont="1" applyFill="1" applyBorder="1" applyAlignment="1">
      <alignment horizontal="left" vertical="center" wrapText="1" indent="2"/>
    </xf>
    <xf numFmtId="0" fontId="3" fillId="0" borderId="12" xfId="80" applyNumberFormat="1" applyFont="1" applyFill="1" applyBorder="1" applyAlignment="1">
      <alignment horizontal="left" vertical="center" wrapText="1" indent="2"/>
    </xf>
    <xf numFmtId="0" fontId="3" fillId="0" borderId="12" xfId="80" applyFont="1" applyFill="1" applyBorder="1" applyAlignment="1">
      <alignment horizontal="left" vertical="center" wrapText="1" indent="3"/>
    </xf>
    <xf numFmtId="0" fontId="3" fillId="0" borderId="13" xfId="80" applyFont="1" applyFill="1" applyBorder="1" applyAlignment="1">
      <alignment horizontal="left" vertical="center" wrapText="1" indent="1"/>
    </xf>
    <xf numFmtId="0" fontId="3" fillId="0" borderId="13" xfId="80" applyFont="1" applyFill="1" applyBorder="1" applyAlignment="1">
      <alignment horizontal="left" vertical="center" wrapText="1" indent="2"/>
    </xf>
    <xf numFmtId="1" fontId="59" fillId="0" borderId="0" xfId="0" applyNumberFormat="1" applyFont="1" applyAlignment="1">
      <alignment horizontal="center" vertical="center"/>
    </xf>
    <xf numFmtId="164" fontId="59" fillId="0" borderId="0" xfId="0" applyNumberFormat="1" applyFont="1" applyAlignment="1">
      <alignment vertical="center"/>
    </xf>
    <xf numFmtId="2" fontId="59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4" fontId="5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28" fillId="0" borderId="0" xfId="0" applyFont="1" applyAlignment="1">
      <alignment horizontal="left" indent="1"/>
    </xf>
    <xf numFmtId="164" fontId="8" fillId="0" borderId="0" xfId="0" applyNumberFormat="1" applyFont="1"/>
    <xf numFmtId="165" fontId="8" fillId="56" borderId="0" xfId="88" applyNumberFormat="1" applyFont="1" applyFill="1" applyAlignment="1">
      <alignment vertical="center"/>
    </xf>
    <xf numFmtId="165" fontId="8" fillId="57" borderId="0" xfId="88" applyNumberFormat="1" applyFont="1" applyFill="1" applyAlignment="1">
      <alignment vertical="center"/>
    </xf>
    <xf numFmtId="165" fontId="8" fillId="58" borderId="0" xfId="88" applyNumberFormat="1" applyFont="1" applyFill="1" applyAlignment="1">
      <alignment vertical="center"/>
    </xf>
    <xf numFmtId="165" fontId="9" fillId="58" borderId="0" xfId="86" applyNumberFormat="1" applyFont="1" applyFill="1" applyAlignment="1">
      <alignment vertical="center"/>
    </xf>
    <xf numFmtId="165" fontId="9" fillId="57" borderId="0" xfId="86" applyNumberFormat="1" applyFont="1" applyFill="1" applyAlignment="1">
      <alignment vertical="center"/>
    </xf>
    <xf numFmtId="165" fontId="9" fillId="56" borderId="0" xfId="86" applyNumberFormat="1" applyFont="1" applyFill="1" applyAlignment="1">
      <alignment vertical="center"/>
    </xf>
    <xf numFmtId="0" fontId="3" fillId="0" borderId="11" xfId="80" applyFont="1" applyFill="1" applyBorder="1" applyAlignment="1">
      <alignment horizontal="left" vertical="center" wrapText="1" indent="1"/>
    </xf>
    <xf numFmtId="0" fontId="4" fillId="0" borderId="14" xfId="8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/>
    <xf numFmtId="0" fontId="4" fillId="0" borderId="0" xfId="80" applyFont="1" applyFill="1" applyBorder="1" applyAlignment="1">
      <alignment vertical="center" wrapText="1"/>
    </xf>
    <xf numFmtId="49" fontId="29" fillId="59" borderId="15" xfId="80" applyNumberFormat="1" applyFont="1" applyFill="1" applyBorder="1" applyAlignment="1">
      <alignment horizontal="center" vertical="center"/>
    </xf>
    <xf numFmtId="0" fontId="61" fillId="0" borderId="18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164" fontId="4" fillId="0" borderId="21" xfId="80" applyNumberFormat="1" applyFont="1" applyFill="1" applyBorder="1" applyAlignment="1">
      <alignment vertical="center" shrinkToFit="1"/>
    </xf>
    <xf numFmtId="164" fontId="4" fillId="0" borderId="20" xfId="80" applyNumberFormat="1" applyFont="1" applyFill="1" applyBorder="1" applyAlignment="1">
      <alignment vertical="center" shrinkToFit="1"/>
    </xf>
    <xf numFmtId="164" fontId="3" fillId="0" borderId="21" xfId="80" applyNumberFormat="1" applyFont="1" applyFill="1" applyBorder="1" applyAlignment="1">
      <alignment vertical="center" shrinkToFit="1"/>
    </xf>
    <xf numFmtId="164" fontId="3" fillId="0" borderId="20" xfId="80" applyNumberFormat="1" applyFont="1" applyFill="1" applyBorder="1" applyAlignment="1">
      <alignment vertical="center" shrinkToFit="1"/>
    </xf>
    <xf numFmtId="166" fontId="3" fillId="0" borderId="21" xfId="80" applyNumberFormat="1" applyFont="1" applyFill="1" applyBorder="1" applyAlignment="1">
      <alignment vertical="center" shrinkToFit="1"/>
    </xf>
    <xf numFmtId="166" fontId="3" fillId="0" borderId="20" xfId="80" applyNumberFormat="1" applyFont="1" applyFill="1" applyBorder="1" applyAlignment="1">
      <alignment vertical="center" shrinkToFit="1"/>
    </xf>
    <xf numFmtId="164" fontId="4" fillId="0" borderId="21" xfId="80" applyNumberFormat="1" applyFont="1" applyFill="1" applyBorder="1" applyAlignment="1">
      <alignment horizontal="center" vertical="center" shrinkToFit="1"/>
    </xf>
    <xf numFmtId="164" fontId="4" fillId="0" borderId="20" xfId="80" applyNumberFormat="1" applyFont="1" applyFill="1" applyBorder="1" applyAlignment="1">
      <alignment horizontal="center" vertical="center" shrinkToFit="1"/>
    </xf>
    <xf numFmtId="164" fontId="3" fillId="0" borderId="23" xfId="80" applyNumberFormat="1" applyFont="1" applyFill="1" applyBorder="1" applyAlignment="1">
      <alignment vertical="center" shrinkToFit="1"/>
    </xf>
    <xf numFmtId="164" fontId="3" fillId="0" borderId="22" xfId="80" applyNumberFormat="1" applyFont="1" applyFill="1" applyBorder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31" fillId="60" borderId="24" xfId="0" applyFont="1" applyFill="1" applyBorder="1" applyAlignment="1">
      <alignment horizontal="left" vertical="center" wrapText="1"/>
    </xf>
    <xf numFmtId="0" fontId="31" fillId="60" borderId="25" xfId="0" applyFont="1" applyFill="1" applyBorder="1" applyAlignment="1">
      <alignment horizontal="left" vertical="center" wrapText="1"/>
    </xf>
    <xf numFmtId="0" fontId="31" fillId="57" borderId="25" xfId="0" applyFont="1" applyFill="1" applyBorder="1" applyAlignment="1">
      <alignment horizontal="left" vertical="center" wrapText="1"/>
    </xf>
    <xf numFmtId="0" fontId="31" fillId="56" borderId="25" xfId="0" applyFont="1" applyFill="1" applyBorder="1" applyAlignment="1">
      <alignment horizontal="left" vertical="center" wrapText="1"/>
    </xf>
    <xf numFmtId="0" fontId="31" fillId="56" borderId="26" xfId="0" applyFont="1" applyFill="1" applyBorder="1" applyAlignment="1">
      <alignment horizontal="left" vertical="center" wrapText="1"/>
    </xf>
    <xf numFmtId="165" fontId="4" fillId="0" borderId="17" xfId="86" applyNumberFormat="1" applyFont="1" applyFill="1" applyBorder="1" applyAlignment="1">
      <alignment horizontal="right" vertical="center" wrapText="1"/>
    </xf>
    <xf numFmtId="165" fontId="4" fillId="0" borderId="16" xfId="86" applyNumberFormat="1" applyFont="1" applyFill="1" applyBorder="1" applyAlignment="1">
      <alignment horizontal="right" vertical="center" wrapText="1"/>
    </xf>
    <xf numFmtId="165" fontId="3" fillId="0" borderId="21" xfId="86" applyNumberFormat="1" applyFont="1" applyFill="1" applyBorder="1" applyAlignment="1">
      <alignment horizontal="right" vertical="center" wrapText="1"/>
    </xf>
    <xf numFmtId="165" fontId="3" fillId="0" borderId="20" xfId="86" applyNumberFormat="1" applyFont="1" applyFill="1" applyBorder="1" applyAlignment="1">
      <alignment horizontal="right" vertical="center" wrapText="1"/>
    </xf>
    <xf numFmtId="165" fontId="3" fillId="0" borderId="23" xfId="86" applyNumberFormat="1" applyFont="1" applyFill="1" applyBorder="1" applyAlignment="1">
      <alignment horizontal="right" vertical="center" wrapText="1"/>
    </xf>
    <xf numFmtId="165" fontId="3" fillId="0" borderId="22" xfId="86" applyNumberFormat="1" applyFont="1" applyFill="1" applyBorder="1" applyAlignment="1">
      <alignment horizontal="right" vertical="center" wrapText="1"/>
    </xf>
    <xf numFmtId="165" fontId="3" fillId="0" borderId="17" xfId="86" applyNumberFormat="1" applyFont="1" applyFill="1" applyBorder="1" applyAlignment="1">
      <alignment horizontal="right" vertical="center" wrapText="1"/>
    </xf>
    <xf numFmtId="165" fontId="3" fillId="0" borderId="16" xfId="86" applyNumberFormat="1" applyFont="1" applyFill="1" applyBorder="1" applyAlignment="1">
      <alignment horizontal="right" vertical="center" wrapText="1"/>
    </xf>
    <xf numFmtId="164" fontId="4" fillId="61" borderId="21" xfId="80" applyNumberFormat="1" applyFont="1" applyFill="1" applyBorder="1" applyAlignment="1" applyProtection="1">
      <alignment vertical="center" shrinkToFit="1"/>
    </xf>
    <xf numFmtId="164" fontId="4" fillId="61" borderId="20" xfId="80" applyNumberFormat="1" applyFont="1" applyFill="1" applyBorder="1" applyAlignment="1" applyProtection="1">
      <alignment vertical="center" shrinkToFit="1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50" fillId="0" borderId="0" xfId="0" applyFont="1" applyProtection="1">
      <protection locked="0"/>
    </xf>
    <xf numFmtId="0" fontId="62" fillId="0" borderId="18" xfId="0" applyFont="1" applyBorder="1" applyAlignment="1" applyProtection="1">
      <alignment horizontal="left" vertical="center"/>
      <protection locked="0"/>
    </xf>
    <xf numFmtId="0" fontId="62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60" borderId="0" xfId="0" applyFont="1" applyFill="1" applyBorder="1" applyAlignment="1" applyProtection="1">
      <alignment horizontal="left" vertical="center" wrapText="1"/>
      <protection locked="0"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0" fontId="31" fillId="56" borderId="0" xfId="0" applyFont="1" applyFill="1" applyBorder="1" applyAlignment="1" applyProtection="1">
      <alignment horizontal="left" vertical="center" wrapText="1"/>
      <protection locked="0"/>
    </xf>
    <xf numFmtId="166" fontId="3" fillId="61" borderId="21" xfId="80" applyNumberFormat="1" applyFont="1" applyFill="1" applyBorder="1" applyAlignment="1" applyProtection="1">
      <alignment horizontal="right" vertical="center" shrinkToFit="1"/>
    </xf>
    <xf numFmtId="166" fontId="3" fillId="61" borderId="20" xfId="80" applyNumberFormat="1" applyFont="1" applyFill="1" applyBorder="1" applyAlignment="1" applyProtection="1">
      <alignment horizontal="right" vertical="center" shrinkToFit="1"/>
    </xf>
    <xf numFmtId="164" fontId="3" fillId="61" borderId="21" xfId="80" applyNumberFormat="1" applyFont="1" applyFill="1" applyBorder="1" applyAlignment="1" applyProtection="1">
      <alignment vertical="center" shrinkToFit="1"/>
    </xf>
    <xf numFmtId="164" fontId="3" fillId="61" borderId="20" xfId="80" applyNumberFormat="1" applyFont="1" applyFill="1" applyBorder="1" applyAlignment="1" applyProtection="1">
      <alignment vertical="center" shrinkToFit="1"/>
    </xf>
    <xf numFmtId="0" fontId="64" fillId="0" borderId="0" xfId="0" applyFont="1"/>
    <xf numFmtId="0" fontId="3" fillId="62" borderId="30" xfId="0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62" borderId="31" xfId="0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5" fillId="62" borderId="31" xfId="0" applyFont="1" applyFill="1" applyBorder="1" applyAlignment="1">
      <alignment horizontal="left" vertical="center" wrapText="1"/>
    </xf>
    <xf numFmtId="0" fontId="35" fillId="62" borderId="32" xfId="0" applyFont="1" applyFill="1" applyBorder="1" applyAlignment="1">
      <alignment horizontal="left"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0" xfId="0" applyFont="1"/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165" fontId="3" fillId="0" borderId="21" xfId="86" applyNumberFormat="1" applyFont="1" applyFill="1" applyBorder="1" applyAlignment="1">
      <alignment horizontal="right" vertical="center"/>
    </xf>
    <xf numFmtId="165" fontId="3" fillId="0" borderId="20" xfId="86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165" fontId="3" fillId="0" borderId="33" xfId="86" applyNumberFormat="1" applyFont="1" applyFill="1" applyBorder="1" applyAlignment="1">
      <alignment horizontal="right" vertical="center"/>
    </xf>
    <xf numFmtId="165" fontId="3" fillId="0" borderId="34" xfId="86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165" fontId="3" fillId="0" borderId="23" xfId="86" applyNumberFormat="1" applyFont="1" applyFill="1" applyBorder="1" applyAlignment="1">
      <alignment horizontal="right" vertical="center"/>
    </xf>
    <xf numFmtId="165" fontId="3" fillId="0" borderId="22" xfId="8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61" fillId="0" borderId="28" xfId="0" applyFont="1" applyBorder="1" applyAlignment="1" applyProtection="1">
      <alignment horizontal="left" vertical="center" wrapText="1"/>
      <protection locked="0"/>
    </xf>
    <xf numFmtId="0" fontId="62" fillId="0" borderId="28" xfId="0" applyFont="1" applyBorder="1" applyAlignment="1" applyProtection="1">
      <alignment horizontal="left" vertical="center" wrapText="1"/>
      <protection locked="0"/>
    </xf>
    <xf numFmtId="0" fontId="62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165" fontId="4" fillId="0" borderId="17" xfId="86" applyNumberFormat="1" applyFont="1" applyFill="1" applyBorder="1" applyAlignment="1">
      <alignment horizontal="right" vertical="center"/>
    </xf>
    <xf numFmtId="165" fontId="4" fillId="0" borderId="16" xfId="86" applyNumberFormat="1" applyFont="1" applyFill="1" applyBorder="1" applyAlignment="1">
      <alignment horizontal="right" vertical="center"/>
    </xf>
    <xf numFmtId="165" fontId="4" fillId="0" borderId="21" xfId="86" applyNumberFormat="1" applyFont="1" applyFill="1" applyBorder="1" applyAlignment="1">
      <alignment horizontal="right" vertical="center"/>
    </xf>
    <xf numFmtId="165" fontId="4" fillId="0" borderId="20" xfId="86" applyNumberFormat="1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30" fillId="0" borderId="0" xfId="0" applyFont="1"/>
    <xf numFmtId="0" fontId="3" fillId="0" borderId="11" xfId="0" applyFont="1" applyBorder="1"/>
    <xf numFmtId="10" fontId="3" fillId="0" borderId="17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>
      <alignment vertical="center"/>
    </xf>
    <xf numFmtId="0" fontId="3" fillId="0" borderId="13" xfId="0" applyFont="1" applyBorder="1"/>
    <xf numFmtId="10" fontId="3" fillId="0" borderId="23" xfId="0" applyNumberFormat="1" applyFont="1" applyFill="1" applyBorder="1" applyAlignment="1">
      <alignment vertical="center"/>
    </xf>
    <xf numFmtId="10" fontId="3" fillId="0" borderId="2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1" xfId="80" applyNumberFormat="1" applyFont="1" applyFill="1" applyBorder="1" applyAlignment="1">
      <alignment horizontal="center" vertical="center" shrinkToFit="1"/>
    </xf>
    <xf numFmtId="0" fontId="3" fillId="0" borderId="20" xfId="80" applyNumberFormat="1" applyFont="1" applyFill="1" applyBorder="1" applyAlignment="1">
      <alignment horizontal="center" vertical="center" shrinkToFit="1"/>
    </xf>
    <xf numFmtId="0" fontId="33" fillId="0" borderId="0" xfId="0" applyFont="1"/>
    <xf numFmtId="0" fontId="29" fillId="0" borderId="0" xfId="0" applyFont="1"/>
    <xf numFmtId="0" fontId="31" fillId="0" borderId="36" xfId="0" applyFont="1" applyFill="1" applyBorder="1" applyAlignment="1" applyProtection="1">
      <alignment vertical="center"/>
      <protection locked="0"/>
    </xf>
    <xf numFmtId="0" fontId="36" fillId="0" borderId="36" xfId="0" applyFont="1" applyFill="1" applyBorder="1" applyAlignment="1" applyProtection="1">
      <alignment vertical="center"/>
      <protection locked="0"/>
    </xf>
    <xf numFmtId="164" fontId="3" fillId="63" borderId="21" xfId="80" applyNumberFormat="1" applyFont="1" applyFill="1" applyBorder="1" applyAlignment="1" applyProtection="1">
      <alignment vertical="center" shrinkToFit="1"/>
    </xf>
    <xf numFmtId="164" fontId="3" fillId="63" borderId="20" xfId="80" applyNumberFormat="1" applyFont="1" applyFill="1" applyBorder="1" applyAlignment="1" applyProtection="1">
      <alignment vertical="center" shrinkToFit="1"/>
    </xf>
    <xf numFmtId="164" fontId="34" fillId="64" borderId="21" xfId="80" applyNumberFormat="1" applyFont="1" applyFill="1" applyBorder="1" applyAlignment="1" applyProtection="1">
      <alignment horizontal="right" vertical="center" shrinkToFit="1"/>
    </xf>
    <xf numFmtId="164" fontId="34" fillId="64" borderId="20" xfId="80" applyNumberFormat="1" applyFont="1" applyFill="1" applyBorder="1" applyAlignment="1" applyProtection="1">
      <alignment horizontal="right" vertical="center" shrinkToFit="1"/>
    </xf>
    <xf numFmtId="164" fontId="4" fillId="63" borderId="21" xfId="80" applyNumberFormat="1" applyFont="1" applyFill="1" applyBorder="1" applyAlignment="1" applyProtection="1">
      <alignment vertical="center" shrinkToFit="1"/>
    </xf>
    <xf numFmtId="164" fontId="4" fillId="63" borderId="20" xfId="80" applyNumberFormat="1" applyFont="1" applyFill="1" applyBorder="1" applyAlignment="1" applyProtection="1">
      <alignment vertical="center" shrinkToFit="1"/>
    </xf>
    <xf numFmtId="164" fontId="4" fillId="0" borderId="21" xfId="80" applyNumberFormat="1" applyFont="1" applyFill="1" applyBorder="1" applyAlignment="1" applyProtection="1">
      <alignment horizontal="center" vertical="center" shrinkToFit="1"/>
    </xf>
    <xf numFmtId="164" fontId="4" fillId="0" borderId="20" xfId="80" applyNumberFormat="1" applyFont="1" applyFill="1" applyBorder="1" applyAlignment="1" applyProtection="1">
      <alignment horizontal="center" vertical="center" shrinkToFit="1"/>
    </xf>
    <xf numFmtId="164" fontId="35" fillId="64" borderId="21" xfId="80" applyNumberFormat="1" applyFont="1" applyFill="1" applyBorder="1" applyAlignment="1" applyProtection="1">
      <alignment vertical="center" shrinkToFit="1"/>
    </xf>
    <xf numFmtId="164" fontId="35" fillId="64" borderId="20" xfId="80" applyNumberFormat="1" applyFont="1" applyFill="1" applyBorder="1" applyAlignment="1" applyProtection="1">
      <alignment vertical="center" shrinkToFit="1"/>
    </xf>
    <xf numFmtId="164" fontId="3" fillId="63" borderId="23" xfId="80" applyNumberFormat="1" applyFont="1" applyFill="1" applyBorder="1" applyAlignment="1" applyProtection="1">
      <alignment vertical="center" shrinkToFit="1"/>
    </xf>
    <xf numFmtId="164" fontId="3" fillId="63" borderId="22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8" fillId="0" borderId="21" xfId="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 vertical="center"/>
    </xf>
    <xf numFmtId="164" fontId="58" fillId="0" borderId="21" xfId="0" applyNumberFormat="1" applyFont="1" applyFill="1" applyBorder="1" applyAlignment="1">
      <alignment horizontal="center" vertical="center"/>
    </xf>
    <xf numFmtId="164" fontId="58" fillId="0" borderId="20" xfId="0" applyNumberFormat="1" applyFont="1" applyFill="1" applyBorder="1" applyAlignment="1">
      <alignment horizontal="center" vertical="center"/>
    </xf>
    <xf numFmtId="49" fontId="29" fillId="59" borderId="24" xfId="80" applyNumberFormat="1" applyFont="1" applyFill="1" applyBorder="1" applyAlignment="1">
      <alignment horizontal="center" vertical="center"/>
    </xf>
    <xf numFmtId="49" fontId="29" fillId="59" borderId="27" xfId="80" applyNumberFormat="1" applyFont="1" applyFill="1" applyBorder="1" applyAlignment="1">
      <alignment horizontal="center" vertical="center"/>
    </xf>
    <xf numFmtId="0" fontId="61" fillId="0" borderId="25" xfId="0" applyFont="1" applyBorder="1" applyAlignment="1">
      <alignment horizontal="left" vertical="center" wrapText="1"/>
    </xf>
    <xf numFmtId="0" fontId="61" fillId="0" borderId="25" xfId="0" applyFont="1" applyBorder="1" applyAlignment="1">
      <alignment vertical="center" wrapText="1"/>
    </xf>
    <xf numFmtId="0" fontId="62" fillId="0" borderId="28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 wrapText="1" indent="1"/>
    </xf>
    <xf numFmtId="0" fontId="62" fillId="0" borderId="28" xfId="0" applyFont="1" applyBorder="1" applyAlignment="1">
      <alignment horizontal="left" vertical="center" wrapText="1" indent="2"/>
    </xf>
    <xf numFmtId="0" fontId="62" fillId="0" borderId="28" xfId="0" applyFont="1" applyBorder="1" applyAlignment="1">
      <alignment horizontal="left" vertical="center" wrapText="1" indent="3"/>
    </xf>
    <xf numFmtId="0" fontId="65" fillId="0" borderId="30" xfId="83" applyFont="1" applyBorder="1" applyAlignment="1">
      <alignment vertical="center"/>
    </xf>
    <xf numFmtId="0" fontId="65" fillId="0" borderId="27" xfId="83" applyFont="1" applyBorder="1" applyAlignment="1">
      <alignment vertical="center"/>
    </xf>
    <xf numFmtId="0" fontId="65" fillId="0" borderId="31" xfId="83" applyFont="1" applyBorder="1" applyAlignment="1">
      <alignment vertical="center"/>
    </xf>
    <xf numFmtId="0" fontId="65" fillId="0" borderId="28" xfId="83" applyFont="1" applyBorder="1" applyAlignment="1">
      <alignment vertical="center"/>
    </xf>
    <xf numFmtId="0" fontId="65" fillId="0" borderId="32" xfId="83" applyFont="1" applyBorder="1" applyAlignment="1">
      <alignment vertical="center"/>
    </xf>
    <xf numFmtId="0" fontId="65" fillId="0" borderId="35" xfId="83" applyFont="1" applyBorder="1" applyAlignment="1">
      <alignment vertical="center"/>
    </xf>
    <xf numFmtId="0" fontId="61" fillId="0" borderId="25" xfId="0" applyFont="1" applyBorder="1" applyAlignment="1" applyProtection="1">
      <alignment horizontal="left" vertical="center" wrapText="1" indent="2"/>
      <protection locked="0"/>
    </xf>
    <xf numFmtId="0" fontId="62" fillId="0" borderId="35" xfId="0" applyFont="1" applyBorder="1" applyAlignment="1">
      <alignment horizontal="left" vertical="center" wrapText="1" indent="1"/>
    </xf>
    <xf numFmtId="0" fontId="66" fillId="0" borderId="31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1" fillId="0" borderId="28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6" fillId="0" borderId="28" xfId="83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164" fontId="8" fillId="0" borderId="0" xfId="0" applyNumberFormat="1" applyFont="1" applyBorder="1" applyAlignment="1" applyProtection="1">
      <alignment vertical="center"/>
    </xf>
    <xf numFmtId="0" fontId="61" fillId="0" borderId="28" xfId="0" applyFont="1" applyBorder="1" applyAlignment="1">
      <alignment vertical="center" wrapText="1"/>
    </xf>
    <xf numFmtId="0" fontId="61" fillId="0" borderId="28" xfId="0" applyFont="1" applyBorder="1" applyAlignment="1" applyProtection="1">
      <alignment horizontal="left" vertical="center" wrapText="1" indent="2"/>
      <protection locked="0"/>
    </xf>
    <xf numFmtId="0" fontId="61" fillId="0" borderId="28" xfId="0" applyFont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vertical="center"/>
      <protection locked="0"/>
    </xf>
    <xf numFmtId="0" fontId="31" fillId="60" borderId="27" xfId="0" applyFont="1" applyFill="1" applyBorder="1" applyAlignment="1">
      <alignment horizontal="left" vertical="center" wrapText="1"/>
    </xf>
    <xf numFmtId="0" fontId="31" fillId="60" borderId="28" xfId="0" applyFont="1" applyFill="1" applyBorder="1" applyAlignment="1">
      <alignment horizontal="left" vertical="center" wrapText="1"/>
    </xf>
    <xf numFmtId="0" fontId="31" fillId="57" borderId="28" xfId="0" applyFont="1" applyFill="1" applyBorder="1" applyAlignment="1">
      <alignment horizontal="left" vertical="center" wrapText="1"/>
    </xf>
    <xf numFmtId="0" fontId="31" fillId="56" borderId="28" xfId="0" applyFont="1" applyFill="1" applyBorder="1" applyAlignment="1">
      <alignment horizontal="left" vertical="center" wrapText="1"/>
    </xf>
    <xf numFmtId="0" fontId="31" fillId="56" borderId="35" xfId="0" applyFont="1" applyFill="1" applyBorder="1" applyAlignment="1">
      <alignment horizontal="left" vertical="center" wrapText="1"/>
    </xf>
    <xf numFmtId="0" fontId="3" fillId="62" borderId="27" xfId="0" applyFont="1" applyFill="1" applyBorder="1" applyAlignment="1">
      <alignment vertical="center"/>
    </xf>
    <xf numFmtId="0" fontId="3" fillId="62" borderId="28" xfId="0" applyFont="1" applyFill="1" applyBorder="1" applyAlignment="1">
      <alignment vertical="center"/>
    </xf>
    <xf numFmtId="0" fontId="35" fillId="62" borderId="28" xfId="0" applyFont="1" applyFill="1" applyBorder="1" applyAlignment="1">
      <alignment horizontal="left" vertical="center" wrapText="1"/>
    </xf>
    <xf numFmtId="0" fontId="35" fillId="62" borderId="35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0" borderId="35" xfId="0" applyFont="1" applyBorder="1"/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wrapText="1" indent="2"/>
    </xf>
    <xf numFmtId="0" fontId="3" fillId="0" borderId="46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wrapText="1" indent="2"/>
    </xf>
    <xf numFmtId="0" fontId="4" fillId="0" borderId="27" xfId="80" applyFont="1" applyFill="1" applyBorder="1" applyAlignment="1">
      <alignment vertical="center" wrapText="1"/>
    </xf>
    <xf numFmtId="0" fontId="3" fillId="0" borderId="28" xfId="80" applyFont="1" applyFill="1" applyBorder="1" applyAlignment="1">
      <alignment horizontal="left" vertical="center" wrapText="1" indent="1"/>
    </xf>
    <xf numFmtId="0" fontId="3" fillId="0" borderId="28" xfId="80" applyFont="1" applyFill="1" applyBorder="1" applyAlignment="1">
      <alignment horizontal="left" vertical="center" wrapText="1" indent="2"/>
    </xf>
    <xf numFmtId="0" fontId="3" fillId="0" borderId="28" xfId="80" applyNumberFormat="1" applyFont="1" applyFill="1" applyBorder="1" applyAlignment="1">
      <alignment horizontal="left" vertical="center" wrapText="1" indent="2"/>
    </xf>
    <xf numFmtId="0" fontId="3" fillId="0" borderId="35" xfId="80" applyFont="1" applyFill="1" applyBorder="1" applyAlignment="1">
      <alignment horizontal="left" vertical="center" wrapText="1" indent="2"/>
    </xf>
    <xf numFmtId="0" fontId="3" fillId="0" borderId="28" xfId="80" applyFont="1" applyFill="1" applyBorder="1" applyAlignment="1">
      <alignment horizontal="left" vertical="center" wrapText="1" indent="3"/>
    </xf>
    <xf numFmtId="0" fontId="3" fillId="0" borderId="27" xfId="80" applyFont="1" applyFill="1" applyBorder="1" applyAlignment="1">
      <alignment horizontal="left" vertical="center" wrapText="1" indent="1"/>
    </xf>
    <xf numFmtId="0" fontId="3" fillId="0" borderId="35" xfId="80" applyFont="1" applyFill="1" applyBorder="1" applyAlignment="1">
      <alignment horizontal="left" vertical="center" wrapText="1" indent="1"/>
    </xf>
    <xf numFmtId="49" fontId="29" fillId="59" borderId="27" xfId="80" applyNumberFormat="1" applyFont="1" applyFill="1" applyBorder="1" applyAlignment="1">
      <alignment horizontal="center" vertical="center" wrapText="1"/>
    </xf>
    <xf numFmtId="1" fontId="29" fillId="59" borderId="17" xfId="80" applyNumberFormat="1" applyFont="1" applyFill="1" applyBorder="1" applyAlignment="1">
      <alignment horizontal="center" vertical="center" wrapText="1"/>
    </xf>
    <xf numFmtId="1" fontId="29" fillId="59" borderId="16" xfId="80" applyNumberFormat="1" applyFont="1" applyFill="1" applyBorder="1" applyAlignment="1">
      <alignment horizontal="center" vertical="center" wrapText="1"/>
    </xf>
    <xf numFmtId="0" fontId="61" fillId="0" borderId="25" xfId="0" applyFont="1" applyBorder="1" applyAlignment="1" applyProtection="1">
      <alignment vertical="center" wrapText="1"/>
      <protection locked="0"/>
    </xf>
    <xf numFmtId="49" fontId="4" fillId="59" borderId="15" xfId="80" applyNumberFormat="1" applyFont="1" applyFill="1" applyBorder="1" applyAlignment="1">
      <alignment horizontal="center" vertical="center"/>
    </xf>
    <xf numFmtId="49" fontId="4" fillId="59" borderId="27" xfId="80" applyNumberFormat="1" applyFont="1" applyFill="1" applyBorder="1" applyAlignment="1" applyProtection="1">
      <alignment horizontal="center" vertical="center"/>
      <protection locked="0"/>
    </xf>
    <xf numFmtId="49" fontId="4" fillId="59" borderId="24" xfId="80" applyNumberFormat="1" applyFont="1" applyFill="1" applyBorder="1" applyAlignment="1">
      <alignment horizontal="center" vertical="center"/>
    </xf>
    <xf numFmtId="1" fontId="4" fillId="59" borderId="17" xfId="80" applyNumberFormat="1" applyFont="1" applyFill="1" applyBorder="1" applyAlignment="1">
      <alignment horizontal="center" vertical="center" wrapText="1"/>
    </xf>
    <xf numFmtId="1" fontId="4" fillId="59" borderId="16" xfId="80" applyNumberFormat="1" applyFont="1" applyFill="1" applyBorder="1" applyAlignment="1">
      <alignment horizontal="center" vertical="center" wrapText="1"/>
    </xf>
    <xf numFmtId="166" fontId="3" fillId="65" borderId="21" xfId="80" applyNumberFormat="1" applyFont="1" applyFill="1" applyBorder="1" applyAlignment="1">
      <alignment vertical="center" shrinkToFit="1"/>
    </xf>
    <xf numFmtId="0" fontId="0" fillId="0" borderId="0" xfId="0" applyAlignment="1" applyProtection="1">
      <alignment shrinkToFit="1"/>
      <protection locked="0"/>
    </xf>
    <xf numFmtId="49" fontId="4" fillId="59" borderId="11" xfId="80" applyNumberFormat="1" applyFont="1" applyFill="1" applyBorder="1" applyAlignment="1">
      <alignment horizontal="center" vertical="center" wrapText="1"/>
    </xf>
    <xf numFmtId="164" fontId="4" fillId="61" borderId="12" xfId="80" applyNumberFormat="1" applyFont="1" applyFill="1" applyBorder="1" applyAlignment="1" applyProtection="1">
      <alignment vertical="center" shrinkToFit="1"/>
    </xf>
    <xf numFmtId="164" fontId="3" fillId="63" borderId="12" xfId="80" applyNumberFormat="1" applyFont="1" applyFill="1" applyBorder="1" applyAlignment="1" applyProtection="1">
      <alignment vertical="center" shrinkToFit="1"/>
    </xf>
    <xf numFmtId="164" fontId="34" fillId="64" borderId="12" xfId="80" applyNumberFormat="1" applyFont="1" applyFill="1" applyBorder="1" applyAlignment="1" applyProtection="1">
      <alignment horizontal="right" vertical="center" shrinkToFit="1"/>
    </xf>
    <xf numFmtId="166" fontId="3" fillId="61" borderId="12" xfId="80" applyNumberFormat="1" applyFont="1" applyFill="1" applyBorder="1" applyAlignment="1" applyProtection="1">
      <alignment horizontal="right" vertical="center" shrinkToFit="1"/>
    </xf>
    <xf numFmtId="164" fontId="4" fillId="63" borderId="12" xfId="80" applyNumberFormat="1" applyFont="1" applyFill="1" applyBorder="1" applyAlignment="1" applyProtection="1">
      <alignment vertical="center" shrinkToFit="1"/>
    </xf>
    <xf numFmtId="164" fontId="4" fillId="0" borderId="12" xfId="80" applyNumberFormat="1" applyFont="1" applyFill="1" applyBorder="1" applyAlignment="1" applyProtection="1">
      <alignment horizontal="center" vertical="center" shrinkToFit="1"/>
    </xf>
    <xf numFmtId="164" fontId="3" fillId="61" borderId="12" xfId="80" applyNumberFormat="1" applyFont="1" applyFill="1" applyBorder="1" applyAlignment="1" applyProtection="1">
      <alignment vertical="center" shrinkToFit="1"/>
    </xf>
    <xf numFmtId="166" fontId="3" fillId="65" borderId="12" xfId="80" applyNumberFormat="1" applyFont="1" applyFill="1" applyBorder="1" applyAlignment="1">
      <alignment vertical="center" shrinkToFit="1"/>
    </xf>
    <xf numFmtId="0" fontId="3" fillId="65" borderId="12" xfId="80" applyNumberFormat="1" applyFont="1" applyFill="1" applyBorder="1" applyAlignment="1">
      <alignment horizontal="center" vertical="center" shrinkToFit="1"/>
    </xf>
    <xf numFmtId="164" fontId="35" fillId="64" borderId="12" xfId="80" applyNumberFormat="1" applyFont="1" applyFill="1" applyBorder="1" applyAlignment="1" applyProtection="1">
      <alignment vertical="center" shrinkToFit="1"/>
    </xf>
    <xf numFmtId="164" fontId="3" fillId="63" borderId="13" xfId="80" applyNumberFormat="1" applyFont="1" applyFill="1" applyBorder="1" applyAlignment="1" applyProtection="1">
      <alignment vertical="center" shrinkToFit="1"/>
    </xf>
    <xf numFmtId="164" fontId="4" fillId="61" borderId="20" xfId="80" applyNumberFormat="1" applyFont="1" applyFill="1" applyBorder="1" applyAlignment="1" applyProtection="1">
      <alignment horizontal="center" vertical="center" shrinkToFit="1"/>
    </xf>
    <xf numFmtId="0" fontId="62" fillId="0" borderId="28" xfId="0" applyFont="1" applyBorder="1" applyAlignment="1">
      <alignment vertical="center" wrapText="1"/>
    </xf>
    <xf numFmtId="0" fontId="68" fillId="0" borderId="25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 indent="1"/>
    </xf>
    <xf numFmtId="0" fontId="69" fillId="0" borderId="28" xfId="0" applyFont="1" applyBorder="1" applyAlignment="1">
      <alignment vertical="center" wrapText="1"/>
    </xf>
    <xf numFmtId="0" fontId="69" fillId="0" borderId="35" xfId="0" applyFont="1" applyBorder="1" applyAlignment="1">
      <alignment vertical="center" wrapText="1"/>
    </xf>
    <xf numFmtId="0" fontId="69" fillId="0" borderId="28" xfId="0" applyFont="1" applyBorder="1" applyAlignment="1">
      <alignment horizontal="left" vertical="center" wrapText="1" indent="3"/>
    </xf>
    <xf numFmtId="0" fontId="56" fillId="0" borderId="36" xfId="0" applyFont="1" applyBorder="1" applyAlignment="1" applyProtection="1">
      <alignment horizontal="center" vertical="center" wrapText="1"/>
      <protection locked="0"/>
    </xf>
  </cellXfs>
  <cellStyles count="106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Obliczenia 2" xfId="84"/>
    <cellStyle name="Obliczenia 3" xfId="85"/>
    <cellStyle name="Procentowy" xfId="86" builtinId="5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" xfId="100" builtinId="15" customBuiltin="1"/>
    <cellStyle name="Tytuł 2" xfId="101"/>
    <cellStyle name="Uwaga 2" xfId="102"/>
    <cellStyle name="Uwaga 3" xfId="103"/>
    <cellStyle name="Złe 2" xfId="104"/>
    <cellStyle name="Złe 3" xfId="105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200025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952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H245"/>
  <sheetViews>
    <sheetView zoomScale="90" zoomScaleNormal="90" zoomScaleSheetLayoutView="100" workbookViewId="0">
      <pane xSplit="4" ySplit="1" topLeftCell="E161" activePane="bottomRight" state="frozen"/>
      <selection pane="topRight" activeCell="F1" sqref="F1"/>
      <selection pane="bottomLeft" activeCell="A10" sqref="A10"/>
      <selection pane="bottomRight" activeCell="D58" sqref="D58"/>
    </sheetView>
  </sheetViews>
  <sheetFormatPr defaultRowHeight="14.25" outlineLevelRow="3" outlineLevelCol="1"/>
  <cols>
    <col min="1" max="1" width="4.25" style="186" hidden="1" customWidth="1" outlineLevel="1"/>
    <col min="2" max="2" width="6.625" style="1" customWidth="1" collapsed="1"/>
    <col min="3" max="3" width="7.25" style="1" hidden="1" customWidth="1"/>
    <col min="4" max="4" width="52.625" style="1" customWidth="1"/>
    <col min="5" max="5" width="5.625" style="1" customWidth="1"/>
    <col min="6" max="7" width="4.5" style="1" customWidth="1"/>
    <col min="8" max="8" width="4.625" style="1" customWidth="1"/>
  </cols>
  <sheetData>
    <row r="1" spans="1:8" ht="114">
      <c r="A1" s="190" t="s">
        <v>447</v>
      </c>
      <c r="B1" s="36" t="s">
        <v>0</v>
      </c>
      <c r="C1" s="170"/>
      <c r="D1" s="169" t="s">
        <v>1</v>
      </c>
      <c r="E1" s="222" t="s">
        <v>472</v>
      </c>
      <c r="F1" s="223" t="s">
        <v>473</v>
      </c>
      <c r="G1" s="224" t="s">
        <v>474</v>
      </c>
      <c r="H1" s="224" t="s">
        <v>475</v>
      </c>
    </row>
    <row r="2" spans="1:8" ht="15" customHeight="1" outlineLevel="1">
      <c r="A2" s="186" t="s">
        <v>29</v>
      </c>
      <c r="B2" s="37">
        <v>1</v>
      </c>
      <c r="C2" s="187"/>
      <c r="D2" s="172" t="s">
        <v>24</v>
      </c>
      <c r="E2" s="192"/>
      <c r="F2" s="40">
        <f>8714844.01</f>
        <v>8714844.0099999998</v>
      </c>
      <c r="G2" s="41">
        <f>7658635</f>
        <v>7658635</v>
      </c>
      <c r="H2" s="41">
        <f>7690743</f>
        <v>7690743</v>
      </c>
    </row>
    <row r="3" spans="1:8" ht="15" customHeight="1" outlineLevel="2">
      <c r="A3" s="186" t="s">
        <v>29</v>
      </c>
      <c r="B3" s="38" t="s">
        <v>159</v>
      </c>
      <c r="C3" s="173"/>
      <c r="D3" s="174" t="s">
        <v>221</v>
      </c>
      <c r="E3" s="174"/>
      <c r="F3" s="42">
        <f>7385532.01</f>
        <v>7385532.0099999998</v>
      </c>
      <c r="G3" s="43">
        <f>7658635</f>
        <v>7658635</v>
      </c>
      <c r="H3" s="43">
        <f>7690743</f>
        <v>7690743</v>
      </c>
    </row>
    <row r="4" spans="1:8" ht="15" customHeight="1" outlineLevel="3">
      <c r="B4" s="38" t="s">
        <v>39</v>
      </c>
      <c r="C4" s="173"/>
      <c r="D4" s="175" t="s">
        <v>210</v>
      </c>
      <c r="E4" s="175"/>
      <c r="F4" s="42">
        <f>792391</f>
        <v>792391</v>
      </c>
      <c r="G4" s="43">
        <f>808238</f>
        <v>808238</v>
      </c>
      <c r="H4" s="43">
        <f>824404</f>
        <v>824404</v>
      </c>
    </row>
    <row r="5" spans="1:8" ht="15" customHeight="1" outlineLevel="3">
      <c r="B5" s="38" t="s">
        <v>41</v>
      </c>
      <c r="C5" s="173"/>
      <c r="D5" s="175" t="s">
        <v>211</v>
      </c>
      <c r="E5" s="175"/>
      <c r="F5" s="42">
        <f>6000</f>
        <v>6000</v>
      </c>
      <c r="G5" s="43">
        <f>6180</f>
        <v>6180</v>
      </c>
      <c r="H5" s="43">
        <f>6365</f>
        <v>6365</v>
      </c>
    </row>
    <row r="6" spans="1:8" ht="15" customHeight="1" outlineLevel="3">
      <c r="B6" s="38" t="s">
        <v>43</v>
      </c>
      <c r="C6" s="173"/>
      <c r="D6" s="175" t="s">
        <v>215</v>
      </c>
      <c r="E6" s="175"/>
      <c r="F6" s="42">
        <f>2179747</f>
        <v>2179747</v>
      </c>
      <c r="G6" s="43">
        <f>2262577</f>
        <v>2262577</v>
      </c>
      <c r="H6" s="43">
        <f>2348555</f>
        <v>2348555</v>
      </c>
    </row>
    <row r="7" spans="1:8" ht="15" customHeight="1" outlineLevel="3">
      <c r="B7" s="38" t="s">
        <v>45</v>
      </c>
      <c r="C7" s="173"/>
      <c r="D7" s="176" t="s">
        <v>212</v>
      </c>
      <c r="E7" s="176"/>
      <c r="F7" s="42">
        <f>1057013</f>
        <v>1057013</v>
      </c>
      <c r="G7" s="43">
        <f>1097179</f>
        <v>1097179</v>
      </c>
      <c r="H7" s="43">
        <f>1138872</f>
        <v>1138872</v>
      </c>
    </row>
    <row r="8" spans="1:8" ht="15" customHeight="1" outlineLevel="3">
      <c r="B8" s="38" t="s">
        <v>47</v>
      </c>
      <c r="C8" s="173"/>
      <c r="D8" s="175" t="s">
        <v>213</v>
      </c>
      <c r="E8" s="175"/>
      <c r="F8" s="42">
        <f>2873140</f>
        <v>2873140</v>
      </c>
      <c r="G8" s="43">
        <f>2988065</f>
        <v>2988065</v>
      </c>
      <c r="H8" s="43">
        <f>3107588</f>
        <v>3107588</v>
      </c>
    </row>
    <row r="9" spans="1:8" ht="15" customHeight="1" outlineLevel="3">
      <c r="B9" s="38" t="s">
        <v>49</v>
      </c>
      <c r="C9" s="173"/>
      <c r="D9" s="175" t="s">
        <v>214</v>
      </c>
      <c r="E9" s="175"/>
      <c r="F9" s="42">
        <f>1194354.01</f>
        <v>1194354.01</v>
      </c>
      <c r="G9" s="43">
        <f>1066573</f>
        <v>1066573</v>
      </c>
      <c r="H9" s="43">
        <f>1109235</f>
        <v>1109235</v>
      </c>
    </row>
    <row r="10" spans="1:8" ht="15" customHeight="1" outlineLevel="2">
      <c r="A10" s="186" t="s">
        <v>29</v>
      </c>
      <c r="B10" s="38" t="s">
        <v>160</v>
      </c>
      <c r="C10" s="173"/>
      <c r="D10" s="174" t="s">
        <v>27</v>
      </c>
      <c r="E10" s="174"/>
      <c r="F10" s="42">
        <f>1329312</f>
        <v>1329312</v>
      </c>
      <c r="G10" s="43">
        <f>0</f>
        <v>0</v>
      </c>
      <c r="H10" s="43">
        <f>0</f>
        <v>0</v>
      </c>
    </row>
    <row r="11" spans="1:8" ht="15" customHeight="1" outlineLevel="3">
      <c r="A11" s="186" t="s">
        <v>29</v>
      </c>
      <c r="B11" s="38" t="s">
        <v>52</v>
      </c>
      <c r="C11" s="173"/>
      <c r="D11" s="175" t="s">
        <v>28</v>
      </c>
      <c r="E11" s="175"/>
      <c r="F11" s="42">
        <f>494200</f>
        <v>494200</v>
      </c>
      <c r="G11" s="43">
        <f>0</f>
        <v>0</v>
      </c>
      <c r="H11" s="43">
        <f>0</f>
        <v>0</v>
      </c>
    </row>
    <row r="12" spans="1:8" ht="15" customHeight="1" outlineLevel="3">
      <c r="B12" s="38" t="s">
        <v>54</v>
      </c>
      <c r="C12" s="173"/>
      <c r="D12" s="175" t="s">
        <v>216</v>
      </c>
      <c r="E12" s="175"/>
      <c r="F12" s="42">
        <f>835112</f>
        <v>835112</v>
      </c>
      <c r="G12" s="43">
        <f>0</f>
        <v>0</v>
      </c>
      <c r="H12" s="43">
        <f>0</f>
        <v>0</v>
      </c>
    </row>
    <row r="13" spans="1:8" ht="15" customHeight="1" outlineLevel="1">
      <c r="A13" s="186" t="s">
        <v>29</v>
      </c>
      <c r="B13" s="37">
        <v>2</v>
      </c>
      <c r="C13" s="187"/>
      <c r="D13" s="172" t="s">
        <v>19</v>
      </c>
      <c r="E13" s="192"/>
      <c r="F13" s="40">
        <f>11071373.01</f>
        <v>11071373.01</v>
      </c>
      <c r="G13" s="41">
        <f>7658635</f>
        <v>7658635</v>
      </c>
      <c r="H13" s="41">
        <f>7258992</f>
        <v>7258992</v>
      </c>
    </row>
    <row r="14" spans="1:8" ht="15" customHeight="1" outlineLevel="2">
      <c r="A14" s="186" t="s">
        <v>29</v>
      </c>
      <c r="B14" s="38" t="s">
        <v>161</v>
      </c>
      <c r="C14" s="173"/>
      <c r="D14" s="174" t="s">
        <v>217</v>
      </c>
      <c r="E14" s="174"/>
      <c r="F14" s="42">
        <f>7177917.01</f>
        <v>7177917.0099999998</v>
      </c>
      <c r="G14" s="43">
        <f>6936103</f>
        <v>6936103</v>
      </c>
      <c r="H14" s="43">
        <f>7124924</f>
        <v>7124924</v>
      </c>
    </row>
    <row r="15" spans="1:8" ht="15" customHeight="1" outlineLevel="3">
      <c r="A15" s="186" t="s">
        <v>29</v>
      </c>
      <c r="B15" s="38" t="s">
        <v>57</v>
      </c>
      <c r="C15" s="173"/>
      <c r="D15" s="175" t="s">
        <v>218</v>
      </c>
      <c r="E15" s="175"/>
      <c r="F15" s="42">
        <f>0</f>
        <v>0</v>
      </c>
      <c r="G15" s="43">
        <f>0</f>
        <v>0</v>
      </c>
      <c r="H15" s="43">
        <f>0</f>
        <v>0</v>
      </c>
    </row>
    <row r="16" spans="1:8" ht="48" customHeight="1" outlineLevel="3">
      <c r="A16" s="186" t="s">
        <v>29</v>
      </c>
      <c r="B16" s="38" t="s">
        <v>59</v>
      </c>
      <c r="C16" s="173"/>
      <c r="D16" s="176" t="s">
        <v>428</v>
      </c>
      <c r="E16" s="176"/>
      <c r="F16" s="42">
        <f>0</f>
        <v>0</v>
      </c>
      <c r="G16" s="43">
        <f>0</f>
        <v>0</v>
      </c>
      <c r="H16" s="43">
        <f>0</f>
        <v>0</v>
      </c>
    </row>
    <row r="17" spans="1:8" ht="39" customHeight="1" outlineLevel="3">
      <c r="B17" s="38" t="s">
        <v>61</v>
      </c>
      <c r="C17" s="173"/>
      <c r="D17" s="175" t="s">
        <v>429</v>
      </c>
      <c r="E17" s="175"/>
      <c r="F17" s="42">
        <f>0</f>
        <v>0</v>
      </c>
      <c r="G17" s="43">
        <f>0</f>
        <v>0</v>
      </c>
      <c r="H17" s="43">
        <f>0</f>
        <v>0</v>
      </c>
    </row>
    <row r="18" spans="1:8" ht="15" customHeight="1" outlineLevel="3">
      <c r="A18" s="186" t="s">
        <v>29</v>
      </c>
      <c r="B18" s="38" t="s">
        <v>63</v>
      </c>
      <c r="C18" s="173"/>
      <c r="D18" s="175" t="s">
        <v>219</v>
      </c>
      <c r="E18" s="175"/>
      <c r="F18" s="42">
        <f>100000</f>
        <v>100000</v>
      </c>
      <c r="G18" s="43">
        <f>193787</f>
        <v>193787</v>
      </c>
      <c r="H18" s="43">
        <f>199910</f>
        <v>199910</v>
      </c>
    </row>
    <row r="19" spans="1:8" ht="15" customHeight="1" outlineLevel="3">
      <c r="A19" s="186" t="s">
        <v>29</v>
      </c>
      <c r="B19" s="38" t="s">
        <v>65</v>
      </c>
      <c r="C19" s="173"/>
      <c r="D19" s="176" t="s">
        <v>220</v>
      </c>
      <c r="E19" s="176"/>
      <c r="F19" s="42">
        <f>100000</f>
        <v>100000</v>
      </c>
      <c r="G19" s="43">
        <f>193787</f>
        <v>193787</v>
      </c>
      <c r="H19" s="43">
        <f>199910</f>
        <v>199910</v>
      </c>
    </row>
    <row r="20" spans="1:8" ht="15" customHeight="1" outlineLevel="2">
      <c r="A20" s="186" t="s">
        <v>29</v>
      </c>
      <c r="B20" s="38" t="s">
        <v>162</v>
      </c>
      <c r="C20" s="173"/>
      <c r="D20" s="174" t="s">
        <v>20</v>
      </c>
      <c r="E20" s="174"/>
      <c r="F20" s="42">
        <f>3893456</f>
        <v>3893456</v>
      </c>
      <c r="G20" s="43">
        <f>722532</f>
        <v>722532</v>
      </c>
      <c r="H20" s="43">
        <f>134068</f>
        <v>134068</v>
      </c>
    </row>
    <row r="21" spans="1:8" ht="15" customHeight="1" outlineLevel="1">
      <c r="A21" s="186" t="s">
        <v>29</v>
      </c>
      <c r="B21" s="37">
        <v>3</v>
      </c>
      <c r="C21" s="187"/>
      <c r="D21" s="172" t="s">
        <v>21</v>
      </c>
      <c r="E21" s="192"/>
      <c r="F21" s="40">
        <f>-2356529</f>
        <v>-2356529</v>
      </c>
      <c r="G21" s="41">
        <f>0</f>
        <v>0</v>
      </c>
      <c r="H21" s="41">
        <f>431751</f>
        <v>431751</v>
      </c>
    </row>
    <row r="22" spans="1:8" ht="15" customHeight="1" outlineLevel="1">
      <c r="A22" s="186" t="s">
        <v>29</v>
      </c>
      <c r="B22" s="37">
        <v>4</v>
      </c>
      <c r="C22" s="187"/>
      <c r="D22" s="172" t="s">
        <v>22</v>
      </c>
      <c r="E22" s="192"/>
      <c r="F22" s="40">
        <f>2693480</f>
        <v>2693480</v>
      </c>
      <c r="G22" s="41">
        <f>436151</f>
        <v>436151</v>
      </c>
      <c r="H22" s="41">
        <f>0</f>
        <v>0</v>
      </c>
    </row>
    <row r="23" spans="1:8" ht="15" customHeight="1" outlineLevel="2">
      <c r="A23" s="186" t="s">
        <v>29</v>
      </c>
      <c r="B23" s="38" t="s">
        <v>163</v>
      </c>
      <c r="C23" s="173"/>
      <c r="D23" s="174" t="s">
        <v>222</v>
      </c>
      <c r="E23" s="174"/>
      <c r="F23" s="42">
        <f>0</f>
        <v>0</v>
      </c>
      <c r="G23" s="43">
        <f>0</f>
        <v>0</v>
      </c>
      <c r="H23" s="43">
        <f>0</f>
        <v>0</v>
      </c>
    </row>
    <row r="24" spans="1:8" ht="15" customHeight="1" outlineLevel="3">
      <c r="A24" s="186" t="s">
        <v>29</v>
      </c>
      <c r="B24" s="38" t="s">
        <v>69</v>
      </c>
      <c r="C24" s="173"/>
      <c r="D24" s="175" t="s">
        <v>223</v>
      </c>
      <c r="E24" s="175"/>
      <c r="F24" s="42">
        <f>0</f>
        <v>0</v>
      </c>
      <c r="G24" s="43">
        <f>0</f>
        <v>0</v>
      </c>
      <c r="H24" s="43">
        <f>0</f>
        <v>0</v>
      </c>
    </row>
    <row r="25" spans="1:8" ht="15" customHeight="1" outlineLevel="2">
      <c r="A25" s="186" t="s">
        <v>29</v>
      </c>
      <c r="B25" s="38" t="s">
        <v>164</v>
      </c>
      <c r="C25" s="173"/>
      <c r="D25" s="174" t="s">
        <v>224</v>
      </c>
      <c r="E25" s="174"/>
      <c r="F25" s="42">
        <f>411991</f>
        <v>411991</v>
      </c>
      <c r="G25" s="43">
        <f>0</f>
        <v>0</v>
      </c>
      <c r="H25" s="43">
        <f>0</f>
        <v>0</v>
      </c>
    </row>
    <row r="26" spans="1:8" ht="15" customHeight="1" outlineLevel="3">
      <c r="A26" s="186" t="s">
        <v>29</v>
      </c>
      <c r="B26" s="38" t="s">
        <v>72</v>
      </c>
      <c r="C26" s="173"/>
      <c r="D26" s="175" t="s">
        <v>223</v>
      </c>
      <c r="E26" s="175"/>
      <c r="F26" s="42">
        <f>75040</f>
        <v>75040</v>
      </c>
      <c r="G26" s="43">
        <f>0</f>
        <v>0</v>
      </c>
      <c r="H26" s="43">
        <f>0</f>
        <v>0</v>
      </c>
    </row>
    <row r="27" spans="1:8" ht="15" customHeight="1" outlineLevel="2">
      <c r="A27" s="186" t="s">
        <v>29</v>
      </c>
      <c r="B27" s="38" t="s">
        <v>165</v>
      </c>
      <c r="C27" s="173"/>
      <c r="D27" s="174" t="s">
        <v>225</v>
      </c>
      <c r="E27" s="174"/>
      <c r="F27" s="42">
        <f>2281489</f>
        <v>2281489</v>
      </c>
      <c r="G27" s="43">
        <f>436151</f>
        <v>436151</v>
      </c>
      <c r="H27" s="43">
        <f>0</f>
        <v>0</v>
      </c>
    </row>
    <row r="28" spans="1:8" ht="15" customHeight="1" outlineLevel="3">
      <c r="A28" s="186" t="s">
        <v>29</v>
      </c>
      <c r="B28" s="38" t="s">
        <v>75</v>
      </c>
      <c r="C28" s="173"/>
      <c r="D28" s="175" t="s">
        <v>223</v>
      </c>
      <c r="E28" s="175"/>
      <c r="F28" s="42">
        <f>2281489</f>
        <v>2281489</v>
      </c>
      <c r="G28" s="43">
        <f>0</f>
        <v>0</v>
      </c>
      <c r="H28" s="43">
        <f>0</f>
        <v>0</v>
      </c>
    </row>
    <row r="29" spans="1:8" ht="15" customHeight="1" outlineLevel="2">
      <c r="A29" s="186" t="s">
        <v>29</v>
      </c>
      <c r="B29" s="38" t="s">
        <v>166</v>
      </c>
      <c r="C29" s="173"/>
      <c r="D29" s="174" t="s">
        <v>226</v>
      </c>
      <c r="E29" s="174"/>
      <c r="F29" s="42">
        <f>0</f>
        <v>0</v>
      </c>
      <c r="G29" s="43">
        <f>0</f>
        <v>0</v>
      </c>
      <c r="H29" s="43">
        <f>0</f>
        <v>0</v>
      </c>
    </row>
    <row r="30" spans="1:8" ht="15" customHeight="1" outlineLevel="3">
      <c r="A30" s="186" t="s">
        <v>29</v>
      </c>
      <c r="B30" s="38" t="s">
        <v>77</v>
      </c>
      <c r="C30" s="173"/>
      <c r="D30" s="175" t="s">
        <v>223</v>
      </c>
      <c r="E30" s="175"/>
      <c r="F30" s="42">
        <f>0</f>
        <v>0</v>
      </c>
      <c r="G30" s="43">
        <f>0</f>
        <v>0</v>
      </c>
      <c r="H30" s="43">
        <f>0</f>
        <v>0</v>
      </c>
    </row>
    <row r="31" spans="1:8" ht="15" customHeight="1" outlineLevel="1">
      <c r="A31" s="186" t="s">
        <v>29</v>
      </c>
      <c r="B31" s="37">
        <v>5</v>
      </c>
      <c r="C31" s="187"/>
      <c r="D31" s="172" t="s">
        <v>78</v>
      </c>
      <c r="E31" s="192"/>
      <c r="F31" s="40">
        <f>336951</f>
        <v>336951</v>
      </c>
      <c r="G31" s="41">
        <f>436151</f>
        <v>436151</v>
      </c>
      <c r="H31" s="41">
        <f>431751</f>
        <v>431751</v>
      </c>
    </row>
    <row r="32" spans="1:8" ht="15" customHeight="1" outlineLevel="2">
      <c r="A32" s="186" t="s">
        <v>29</v>
      </c>
      <c r="B32" s="38" t="s">
        <v>167</v>
      </c>
      <c r="C32" s="173"/>
      <c r="D32" s="174" t="s">
        <v>227</v>
      </c>
      <c r="E32" s="174"/>
      <c r="F32" s="42">
        <f>336951</f>
        <v>336951</v>
      </c>
      <c r="G32" s="43">
        <f>436151</f>
        <v>436151</v>
      </c>
      <c r="H32" s="43">
        <f>431751</f>
        <v>431751</v>
      </c>
    </row>
    <row r="33" spans="1:8" ht="62.25" customHeight="1" outlineLevel="3">
      <c r="A33" s="186" t="s">
        <v>29</v>
      </c>
      <c r="B33" s="38" t="s">
        <v>80</v>
      </c>
      <c r="C33" s="173"/>
      <c r="D33" s="175" t="s">
        <v>430</v>
      </c>
      <c r="E33" s="175"/>
      <c r="F33" s="42">
        <f>0</f>
        <v>0</v>
      </c>
      <c r="G33" s="43">
        <f>0</f>
        <v>0</v>
      </c>
      <c r="H33" s="43">
        <f>0</f>
        <v>0</v>
      </c>
    </row>
    <row r="34" spans="1:8" ht="25.5" customHeight="1" outlineLevel="3">
      <c r="A34" s="186" t="s">
        <v>29</v>
      </c>
      <c r="B34" s="38" t="s">
        <v>82</v>
      </c>
      <c r="C34" s="173"/>
      <c r="D34" s="176" t="s">
        <v>228</v>
      </c>
      <c r="E34" s="176"/>
      <c r="F34" s="42">
        <f>0</f>
        <v>0</v>
      </c>
      <c r="G34" s="43">
        <f>0</f>
        <v>0</v>
      </c>
      <c r="H34" s="43">
        <f>0</f>
        <v>0</v>
      </c>
    </row>
    <row r="35" spans="1:8" ht="15" customHeight="1" outlineLevel="2">
      <c r="B35" s="38" t="s">
        <v>168</v>
      </c>
      <c r="C35" s="173"/>
      <c r="D35" s="174" t="s">
        <v>229</v>
      </c>
      <c r="E35" s="174"/>
      <c r="F35" s="42">
        <f>0</f>
        <v>0</v>
      </c>
      <c r="G35" s="43">
        <f>0</f>
        <v>0</v>
      </c>
      <c r="H35" s="43">
        <f>0</f>
        <v>0</v>
      </c>
    </row>
    <row r="36" spans="1:8" ht="15" customHeight="1" outlineLevel="1">
      <c r="A36" s="186" t="s">
        <v>29</v>
      </c>
      <c r="B36" s="37">
        <v>6</v>
      </c>
      <c r="C36" s="187"/>
      <c r="D36" s="172" t="s">
        <v>25</v>
      </c>
      <c r="E36" s="192"/>
      <c r="F36" s="40">
        <f>3318757.43</f>
        <v>3318757.43</v>
      </c>
      <c r="G36" s="41">
        <f>3318757.43</f>
        <v>3318757.43</v>
      </c>
      <c r="H36" s="41">
        <f>2887006.43</f>
        <v>2887006.43</v>
      </c>
    </row>
    <row r="37" spans="1:8" ht="25.5" customHeight="1" outlineLevel="2">
      <c r="B37" s="38" t="s">
        <v>169</v>
      </c>
      <c r="C37" s="173"/>
      <c r="D37" s="174" t="s">
        <v>431</v>
      </c>
      <c r="E37" s="174"/>
      <c r="F37" s="42">
        <f>0</f>
        <v>0</v>
      </c>
      <c r="G37" s="43">
        <f>0</f>
        <v>0</v>
      </c>
      <c r="H37" s="43">
        <f>0</f>
        <v>0</v>
      </c>
    </row>
    <row r="38" spans="1:8" ht="15" customHeight="1" outlineLevel="3">
      <c r="B38" s="38" t="s">
        <v>86</v>
      </c>
      <c r="C38" s="173"/>
      <c r="D38" s="175" t="s">
        <v>418</v>
      </c>
      <c r="E38" s="175"/>
      <c r="F38" s="42">
        <f>0</f>
        <v>0</v>
      </c>
      <c r="G38" s="43">
        <f>0</f>
        <v>0</v>
      </c>
      <c r="H38" s="43">
        <f>0</f>
        <v>0</v>
      </c>
    </row>
    <row r="39" spans="1:8" ht="25.5" customHeight="1" outlineLevel="2">
      <c r="B39" s="38" t="s">
        <v>170</v>
      </c>
      <c r="C39" s="173"/>
      <c r="D39" s="174" t="s">
        <v>432</v>
      </c>
      <c r="E39" s="174"/>
      <c r="F39" s="44">
        <f>0.3808</f>
        <v>0.38080000000000003</v>
      </c>
      <c r="G39" s="45">
        <f>0.4333</f>
        <v>0.43330000000000002</v>
      </c>
      <c r="H39" s="45">
        <f>0.3754</f>
        <v>0.37540000000000001</v>
      </c>
    </row>
    <row r="40" spans="1:8" ht="25.5" customHeight="1" outlineLevel="2">
      <c r="B40" s="38" t="s">
        <v>171</v>
      </c>
      <c r="C40" s="173"/>
      <c r="D40" s="174" t="s">
        <v>433</v>
      </c>
      <c r="E40" s="174"/>
      <c r="F40" s="44">
        <f>0.3808</f>
        <v>0.38080000000000003</v>
      </c>
      <c r="G40" s="45">
        <f>0.4333</f>
        <v>0.43330000000000002</v>
      </c>
      <c r="H40" s="45">
        <f>0.3754</f>
        <v>0.37540000000000001</v>
      </c>
    </row>
    <row r="41" spans="1:8" ht="39" customHeight="1" outlineLevel="1">
      <c r="B41" s="37">
        <v>7</v>
      </c>
      <c r="C41" s="187"/>
      <c r="D41" s="172" t="s">
        <v>268</v>
      </c>
      <c r="E41" s="192"/>
      <c r="F41" s="40">
        <f>0</f>
        <v>0</v>
      </c>
      <c r="G41" s="41">
        <f>0</f>
        <v>0</v>
      </c>
      <c r="H41" s="41">
        <f>0</f>
        <v>0</v>
      </c>
    </row>
    <row r="42" spans="1:8" ht="15" customHeight="1" outlineLevel="1">
      <c r="B42" s="37">
        <v>8</v>
      </c>
      <c r="C42" s="187"/>
      <c r="D42" s="172" t="s">
        <v>172</v>
      </c>
      <c r="E42" s="192"/>
      <c r="F42" s="46" t="s">
        <v>29</v>
      </c>
      <c r="G42" s="47" t="s">
        <v>29</v>
      </c>
      <c r="H42" s="47" t="s">
        <v>29</v>
      </c>
    </row>
    <row r="43" spans="1:8" ht="15" customHeight="1" outlineLevel="2">
      <c r="B43" s="38" t="s">
        <v>173</v>
      </c>
      <c r="C43" s="173"/>
      <c r="D43" s="174" t="s">
        <v>267</v>
      </c>
      <c r="E43" s="174"/>
      <c r="F43" s="42">
        <f>207615</f>
        <v>207615</v>
      </c>
      <c r="G43" s="43">
        <f>722532</f>
        <v>722532</v>
      </c>
      <c r="H43" s="43">
        <f>565819</f>
        <v>565819</v>
      </c>
    </row>
    <row r="44" spans="1:8" ht="39" customHeight="1" outlineLevel="2">
      <c r="B44" s="38" t="s">
        <v>174</v>
      </c>
      <c r="C44" s="173"/>
      <c r="D44" s="174" t="s">
        <v>434</v>
      </c>
      <c r="E44" s="174"/>
      <c r="F44" s="42">
        <f>619606</f>
        <v>619606</v>
      </c>
      <c r="G44" s="43">
        <f>722532</f>
        <v>722532</v>
      </c>
      <c r="H44" s="43">
        <f>565819</f>
        <v>565819</v>
      </c>
    </row>
    <row r="45" spans="1:8" ht="15" customHeight="1" outlineLevel="1">
      <c r="A45" s="186" t="s">
        <v>29</v>
      </c>
      <c r="B45" s="37">
        <v>9</v>
      </c>
      <c r="C45" s="187"/>
      <c r="D45" s="172" t="s">
        <v>175</v>
      </c>
      <c r="E45" s="192"/>
      <c r="F45" s="46" t="s">
        <v>29</v>
      </c>
      <c r="G45" s="47" t="s">
        <v>29</v>
      </c>
      <c r="H45" s="47" t="s">
        <v>29</v>
      </c>
    </row>
    <row r="46" spans="1:8" ht="25.5" customHeight="1" outlineLevel="2">
      <c r="B46" s="38" t="s">
        <v>176</v>
      </c>
      <c r="C46" s="173"/>
      <c r="D46" s="174" t="s">
        <v>435</v>
      </c>
      <c r="E46" s="174"/>
      <c r="F46" s="44">
        <f>0.0501</f>
        <v>5.0099999999999999E-2</v>
      </c>
      <c r="G46" s="45">
        <f>0.0823</f>
        <v>8.2299999999999998E-2</v>
      </c>
      <c r="H46" s="45">
        <f>0.0821</f>
        <v>8.2100000000000006E-2</v>
      </c>
    </row>
    <row r="47" spans="1:8" ht="25.5" customHeight="1" outlineLevel="2">
      <c r="B47" s="38" t="s">
        <v>177</v>
      </c>
      <c r="C47" s="173"/>
      <c r="D47" s="174" t="s">
        <v>230</v>
      </c>
      <c r="E47" s="174"/>
      <c r="F47" s="44">
        <f>0.0501</f>
        <v>5.0099999999999999E-2</v>
      </c>
      <c r="G47" s="45">
        <f>0.0823</f>
        <v>8.2299999999999998E-2</v>
      </c>
      <c r="H47" s="45">
        <f>0.0821</f>
        <v>8.2100000000000006E-2</v>
      </c>
    </row>
    <row r="48" spans="1:8" ht="38.25" customHeight="1" outlineLevel="2">
      <c r="A48" s="186" t="s">
        <v>29</v>
      </c>
      <c r="B48" s="38" t="s">
        <v>178</v>
      </c>
      <c r="C48" s="173"/>
      <c r="D48" s="174" t="s">
        <v>232</v>
      </c>
      <c r="E48" s="174"/>
      <c r="F48" s="44">
        <f>0.0501</f>
        <v>5.0099999999999999E-2</v>
      </c>
      <c r="G48" s="45">
        <f>0.0823</f>
        <v>8.2299999999999998E-2</v>
      </c>
      <c r="H48" s="45">
        <f>0.0821</f>
        <v>8.2100000000000006E-2</v>
      </c>
    </row>
    <row r="49" spans="1:8" ht="38.25" customHeight="1" outlineLevel="2">
      <c r="A49" s="186" t="s">
        <v>29</v>
      </c>
      <c r="B49" s="38" t="s">
        <v>179</v>
      </c>
      <c r="C49" s="173"/>
      <c r="D49" s="174" t="s">
        <v>231</v>
      </c>
      <c r="E49" s="174"/>
      <c r="F49" s="44">
        <f>0.0501</f>
        <v>5.0099999999999999E-2</v>
      </c>
      <c r="G49" s="45">
        <f>0.0823</f>
        <v>8.2299999999999998E-2</v>
      </c>
      <c r="H49" s="45">
        <f>0.0821</f>
        <v>8.2100000000000006E-2</v>
      </c>
    </row>
    <row r="50" spans="1:8" ht="25.5" customHeight="1" outlineLevel="2">
      <c r="A50" s="186" t="s">
        <v>29</v>
      </c>
      <c r="B50" s="38" t="s">
        <v>180</v>
      </c>
      <c r="C50" s="173"/>
      <c r="D50" s="174" t="s">
        <v>233</v>
      </c>
      <c r="E50" s="174"/>
      <c r="F50" s="42">
        <f>0</f>
        <v>0</v>
      </c>
      <c r="G50" s="43">
        <f>0</f>
        <v>0</v>
      </c>
      <c r="H50" s="43">
        <f>0</f>
        <v>0</v>
      </c>
    </row>
    <row r="51" spans="1:8" ht="38.25" customHeight="1" outlineLevel="2">
      <c r="A51" s="186" t="s">
        <v>29</v>
      </c>
      <c r="B51" s="38" t="s">
        <v>181</v>
      </c>
      <c r="C51" s="173"/>
      <c r="D51" s="174" t="s">
        <v>234</v>
      </c>
      <c r="E51" s="174"/>
      <c r="F51" s="44">
        <f>0.0501</f>
        <v>5.0099999999999999E-2</v>
      </c>
      <c r="G51" s="45">
        <f>0.0823</f>
        <v>8.2299999999999998E-2</v>
      </c>
      <c r="H51" s="45">
        <f>0.0821</f>
        <v>8.2100000000000006E-2</v>
      </c>
    </row>
    <row r="52" spans="1:8" ht="15" customHeight="1" outlineLevel="3">
      <c r="A52" s="186" t="s">
        <v>29</v>
      </c>
      <c r="B52" s="73" t="s">
        <v>98</v>
      </c>
      <c r="C52" s="74"/>
      <c r="D52" s="183" t="s">
        <v>425</v>
      </c>
      <c r="E52" s="193"/>
      <c r="F52" s="44">
        <f>+IF(F2&lt;&gt;0,(F3+F11-F14)/F2,0)</f>
        <v>8.0530988184606647E-2</v>
      </c>
      <c r="G52" s="45">
        <f t="shared" ref="G52:H52" si="0">+IF(G2&lt;&gt;0,(G3+G11-G14)/G2,0)</f>
        <v>9.4342137991952874E-2</v>
      </c>
      <c r="H52" s="45">
        <f t="shared" si="0"/>
        <v>7.3571435165627044E-2</v>
      </c>
    </row>
    <row r="53" spans="1:8" ht="38.25" customHeight="1" outlineLevel="2">
      <c r="A53" s="186" t="s">
        <v>29</v>
      </c>
      <c r="B53" s="38" t="s">
        <v>182</v>
      </c>
      <c r="C53" s="173"/>
      <c r="D53" s="174" t="s">
        <v>436</v>
      </c>
      <c r="E53" s="174"/>
      <c r="F53" s="44">
        <f>0.096</f>
        <v>9.6000000000000002E-2</v>
      </c>
      <c r="G53" s="45">
        <f>0.0826</f>
        <v>8.2600000000000007E-2</v>
      </c>
      <c r="H53" s="45">
        <f>0.0928</f>
        <v>9.2799999999999994E-2</v>
      </c>
    </row>
    <row r="54" spans="1:8" ht="38.25" customHeight="1" outlineLevel="2">
      <c r="A54" s="186" t="s">
        <v>29</v>
      </c>
      <c r="B54" s="38" t="s">
        <v>101</v>
      </c>
      <c r="C54" s="173"/>
      <c r="D54" s="175" t="s">
        <v>437</v>
      </c>
      <c r="E54" s="175"/>
      <c r="F54" s="44">
        <f>0.0998</f>
        <v>9.98E-2</v>
      </c>
      <c r="G54" s="45">
        <f>0.0864</f>
        <v>8.6400000000000005E-2</v>
      </c>
      <c r="H54" s="45">
        <f>0.0966</f>
        <v>9.6600000000000005E-2</v>
      </c>
    </row>
    <row r="55" spans="1:8" ht="49.5" customHeight="1" outlineLevel="2">
      <c r="A55" s="186" t="s">
        <v>29</v>
      </c>
      <c r="B55" s="38" t="s">
        <v>183</v>
      </c>
      <c r="C55" s="173"/>
      <c r="D55" s="174" t="s">
        <v>236</v>
      </c>
      <c r="E55" s="174"/>
      <c r="F55" s="140" t="str">
        <f>IF(F51&lt;=F53,"Spełniona","Nie spełniona")</f>
        <v>Spełniona</v>
      </c>
      <c r="G55" s="141" t="str">
        <f t="shared" ref="G55:H55" si="1">IF(G51&lt;=G53,"Spełniona","Nie spełniona")</f>
        <v>Spełniona</v>
      </c>
      <c r="H55" s="141" t="str">
        <f t="shared" si="1"/>
        <v>Spełniona</v>
      </c>
    </row>
    <row r="56" spans="1:8" ht="49.5" customHeight="1" outlineLevel="2">
      <c r="A56" s="186" t="s">
        <v>29</v>
      </c>
      <c r="B56" s="38" t="s">
        <v>104</v>
      </c>
      <c r="C56" s="173"/>
      <c r="D56" s="175" t="s">
        <v>235</v>
      </c>
      <c r="E56" s="175"/>
      <c r="F56" s="140" t="str">
        <f>IF(F51&lt;=F54,"Spełniona","Nie spełniona")</f>
        <v>Spełniona</v>
      </c>
      <c r="G56" s="141" t="str">
        <f t="shared" ref="G56:H56" si="2">IF(G51&lt;=G54,"Spełniona","Nie spełniona")</f>
        <v>Spełniona</v>
      </c>
      <c r="H56" s="141" t="str">
        <f t="shared" si="2"/>
        <v>Spełniona</v>
      </c>
    </row>
    <row r="57" spans="1:8" ht="15" customHeight="1" outlineLevel="1">
      <c r="B57" s="37">
        <v>10</v>
      </c>
      <c r="C57" s="187"/>
      <c r="D57" s="172" t="s">
        <v>237</v>
      </c>
      <c r="E57" s="192"/>
      <c r="F57" s="40">
        <f>0</f>
        <v>0</v>
      </c>
      <c r="G57" s="41">
        <f>0</f>
        <v>0</v>
      </c>
      <c r="H57" s="41">
        <f>431751</f>
        <v>431751</v>
      </c>
    </row>
    <row r="58" spans="1:8" ht="15" customHeight="1" outlineLevel="2">
      <c r="B58" s="38" t="s">
        <v>184</v>
      </c>
      <c r="C58" s="173"/>
      <c r="D58" s="174" t="s">
        <v>238</v>
      </c>
      <c r="E58" s="174"/>
      <c r="F58" s="42">
        <f>0</f>
        <v>0</v>
      </c>
      <c r="G58" s="43">
        <f>0</f>
        <v>0</v>
      </c>
      <c r="H58" s="43">
        <f>431751</f>
        <v>431751</v>
      </c>
    </row>
    <row r="59" spans="1:8" ht="15" customHeight="1" outlineLevel="1">
      <c r="B59" s="37">
        <v>11</v>
      </c>
      <c r="C59" s="187"/>
      <c r="D59" s="172" t="s">
        <v>108</v>
      </c>
      <c r="E59" s="192"/>
      <c r="F59" s="46" t="s">
        <v>29</v>
      </c>
      <c r="G59" s="47" t="s">
        <v>29</v>
      </c>
      <c r="H59" s="47" t="s">
        <v>29</v>
      </c>
    </row>
    <row r="60" spans="1:8" ht="15" customHeight="1" outlineLevel="2">
      <c r="B60" s="38" t="s">
        <v>185</v>
      </c>
      <c r="C60" s="173"/>
      <c r="D60" s="174" t="s">
        <v>239</v>
      </c>
      <c r="E60" s="174"/>
      <c r="F60" s="42">
        <f>3281005.32</f>
        <v>3281005.32</v>
      </c>
      <c r="G60" s="43">
        <f>3316000</f>
        <v>3316000</v>
      </c>
      <c r="H60" s="43">
        <f>3382000</f>
        <v>3382000</v>
      </c>
    </row>
    <row r="61" spans="1:8" ht="15" customHeight="1" outlineLevel="2">
      <c r="B61" s="38" t="s">
        <v>186</v>
      </c>
      <c r="C61" s="173"/>
      <c r="D61" s="174" t="s">
        <v>240</v>
      </c>
      <c r="E61" s="174"/>
      <c r="F61" s="42">
        <f>1128180</f>
        <v>1128180</v>
      </c>
      <c r="G61" s="43">
        <f>1173307</f>
        <v>1173307</v>
      </c>
      <c r="H61" s="43">
        <f>1220239</f>
        <v>1220239</v>
      </c>
    </row>
    <row r="62" spans="1:8" ht="15" customHeight="1" outlineLevel="2">
      <c r="B62" s="38" t="s">
        <v>187</v>
      </c>
      <c r="C62" s="173"/>
      <c r="D62" s="174" t="s">
        <v>243</v>
      </c>
      <c r="E62" s="174"/>
      <c r="F62" s="42">
        <f>2653373</f>
        <v>2653373</v>
      </c>
      <c r="G62" s="43">
        <f>17400</f>
        <v>17400</v>
      </c>
      <c r="H62" s="43">
        <f>0</f>
        <v>0</v>
      </c>
    </row>
    <row r="63" spans="1:8" ht="15" customHeight="1" outlineLevel="3">
      <c r="B63" s="38" t="s">
        <v>112</v>
      </c>
      <c r="C63" s="173"/>
      <c r="D63" s="175" t="s">
        <v>241</v>
      </c>
      <c r="E63" s="175"/>
      <c r="F63" s="42">
        <f>9900</f>
        <v>9900</v>
      </c>
      <c r="G63" s="43">
        <f>0</f>
        <v>0</v>
      </c>
      <c r="H63" s="43">
        <f>0</f>
        <v>0</v>
      </c>
    </row>
    <row r="64" spans="1:8" ht="15" customHeight="1" outlineLevel="3">
      <c r="B64" s="38" t="s">
        <v>114</v>
      </c>
      <c r="C64" s="173"/>
      <c r="D64" s="175" t="s">
        <v>242</v>
      </c>
      <c r="E64" s="175"/>
      <c r="F64" s="42">
        <f>2643473</f>
        <v>2643473</v>
      </c>
      <c r="G64" s="43">
        <f>17400</f>
        <v>17400</v>
      </c>
      <c r="H64" s="43">
        <f>0</f>
        <v>0</v>
      </c>
    </row>
    <row r="65" spans="2:8" ht="15" customHeight="1" outlineLevel="2">
      <c r="B65" s="38" t="s">
        <v>188</v>
      </c>
      <c r="C65" s="173"/>
      <c r="D65" s="174" t="s">
        <v>244</v>
      </c>
      <c r="E65" s="174"/>
      <c r="F65" s="42">
        <f>2655054</f>
        <v>2655054</v>
      </c>
      <c r="G65" s="43">
        <f>0</f>
        <v>0</v>
      </c>
      <c r="H65" s="43">
        <f>0</f>
        <v>0</v>
      </c>
    </row>
    <row r="66" spans="2:8" ht="15" customHeight="1" outlineLevel="2">
      <c r="B66" s="38" t="s">
        <v>189</v>
      </c>
      <c r="C66" s="173"/>
      <c r="D66" s="174" t="s">
        <v>245</v>
      </c>
      <c r="E66" s="174"/>
      <c r="F66" s="42">
        <f>1198402</f>
        <v>1198402</v>
      </c>
      <c r="G66" s="43">
        <f>624596</f>
        <v>624596</v>
      </c>
      <c r="H66" s="43">
        <f>134068</f>
        <v>134068</v>
      </c>
    </row>
    <row r="67" spans="2:8" ht="15" customHeight="1" outlineLevel="2">
      <c r="B67" s="38" t="s">
        <v>190</v>
      </c>
      <c r="C67" s="173"/>
      <c r="D67" s="174" t="s">
        <v>246</v>
      </c>
      <c r="E67" s="174"/>
      <c r="F67" s="42">
        <f>40000</f>
        <v>40000</v>
      </c>
      <c r="G67" s="43">
        <f>0</f>
        <v>0</v>
      </c>
      <c r="H67" s="43">
        <f>0</f>
        <v>0</v>
      </c>
    </row>
    <row r="68" spans="2:8" ht="26.25" customHeight="1" outlineLevel="1">
      <c r="B68" s="37">
        <v>12</v>
      </c>
      <c r="C68" s="187"/>
      <c r="D68" s="172" t="s">
        <v>119</v>
      </c>
      <c r="E68" s="192"/>
      <c r="F68" s="46" t="s">
        <v>29</v>
      </c>
      <c r="G68" s="47" t="s">
        <v>29</v>
      </c>
      <c r="H68" s="47" t="s">
        <v>29</v>
      </c>
    </row>
    <row r="69" spans="2:8" ht="25.5" customHeight="1" outlineLevel="2">
      <c r="B69" s="38" t="s">
        <v>191</v>
      </c>
      <c r="C69" s="173"/>
      <c r="D69" s="174" t="s">
        <v>438</v>
      </c>
      <c r="E69" s="174"/>
      <c r="F69" s="42">
        <f>1485</f>
        <v>1485</v>
      </c>
      <c r="G69" s="43">
        <f>0</f>
        <v>0</v>
      </c>
      <c r="H69" s="43">
        <f>0</f>
        <v>0</v>
      </c>
    </row>
    <row r="70" spans="2:8" ht="15" customHeight="1" outlineLevel="3">
      <c r="B70" s="38" t="s">
        <v>121</v>
      </c>
      <c r="C70" s="173"/>
      <c r="D70" s="175" t="s">
        <v>247</v>
      </c>
      <c r="E70" s="175"/>
      <c r="F70" s="42">
        <f>0</f>
        <v>0</v>
      </c>
      <c r="G70" s="43">
        <f>0</f>
        <v>0</v>
      </c>
      <c r="H70" s="43">
        <f>0</f>
        <v>0</v>
      </c>
    </row>
    <row r="71" spans="2:8" ht="25.5" customHeight="1" outlineLevel="3">
      <c r="B71" s="38" t="s">
        <v>123</v>
      </c>
      <c r="C71" s="173"/>
      <c r="D71" s="176" t="s">
        <v>248</v>
      </c>
      <c r="E71" s="176"/>
      <c r="F71" s="42">
        <f>0</f>
        <v>0</v>
      </c>
      <c r="G71" s="43">
        <f>0</f>
        <v>0</v>
      </c>
      <c r="H71" s="43">
        <f>0</f>
        <v>0</v>
      </c>
    </row>
    <row r="72" spans="2:8" ht="25.5" customHeight="1" outlineLevel="2">
      <c r="B72" s="38" t="s">
        <v>192</v>
      </c>
      <c r="C72" s="173"/>
      <c r="D72" s="174" t="s">
        <v>439</v>
      </c>
      <c r="E72" s="174"/>
      <c r="F72" s="42">
        <f>779500</f>
        <v>779500</v>
      </c>
      <c r="G72" s="43">
        <f>0</f>
        <v>0</v>
      </c>
      <c r="H72" s="43">
        <f>0</f>
        <v>0</v>
      </c>
    </row>
    <row r="73" spans="2:8" ht="15" customHeight="1" outlineLevel="3">
      <c r="B73" s="38" t="s">
        <v>126</v>
      </c>
      <c r="C73" s="173"/>
      <c r="D73" s="175" t="s">
        <v>247</v>
      </c>
      <c r="E73" s="175"/>
      <c r="F73" s="42">
        <f>779500</f>
        <v>779500</v>
      </c>
      <c r="G73" s="43">
        <f>0</f>
        <v>0</v>
      </c>
      <c r="H73" s="43">
        <f>0</f>
        <v>0</v>
      </c>
    </row>
    <row r="74" spans="2:8" ht="25.5" customHeight="1" outlineLevel="3">
      <c r="B74" s="38" t="s">
        <v>128</v>
      </c>
      <c r="C74" s="173"/>
      <c r="D74" s="176" t="s">
        <v>248</v>
      </c>
      <c r="E74" s="176"/>
      <c r="F74" s="42">
        <f>779500</f>
        <v>779500</v>
      </c>
      <c r="G74" s="43">
        <f>0</f>
        <v>0</v>
      </c>
      <c r="H74" s="43">
        <f>0</f>
        <v>0</v>
      </c>
    </row>
    <row r="75" spans="2:8" ht="25.5" customHeight="1" outlineLevel="2">
      <c r="B75" s="38" t="s">
        <v>193</v>
      </c>
      <c r="C75" s="173"/>
      <c r="D75" s="174" t="s">
        <v>249</v>
      </c>
      <c r="E75" s="174"/>
      <c r="F75" s="42">
        <f>9900</f>
        <v>9900</v>
      </c>
      <c r="G75" s="43">
        <f>0</f>
        <v>0</v>
      </c>
      <c r="H75" s="43">
        <f>0</f>
        <v>0</v>
      </c>
    </row>
    <row r="76" spans="2:8" ht="15" customHeight="1" outlineLevel="3">
      <c r="B76" s="38" t="s">
        <v>131</v>
      </c>
      <c r="C76" s="173"/>
      <c r="D76" s="175" t="s">
        <v>251</v>
      </c>
      <c r="E76" s="175"/>
      <c r="F76" s="42">
        <f>8415</f>
        <v>8415</v>
      </c>
      <c r="G76" s="43">
        <f>0</f>
        <v>0</v>
      </c>
      <c r="H76" s="43">
        <f>0</f>
        <v>0</v>
      </c>
    </row>
    <row r="77" spans="2:8" ht="25.5" customHeight="1" outlineLevel="3">
      <c r="B77" s="38" t="s">
        <v>133</v>
      </c>
      <c r="C77" s="173"/>
      <c r="D77" s="175" t="s">
        <v>250</v>
      </c>
      <c r="E77" s="175"/>
      <c r="F77" s="42">
        <f>9900</f>
        <v>9900</v>
      </c>
      <c r="G77" s="43">
        <f>0</f>
        <v>0</v>
      </c>
      <c r="H77" s="43">
        <f>0</f>
        <v>0</v>
      </c>
    </row>
    <row r="78" spans="2:8" ht="25.5" customHeight="1" outlineLevel="2">
      <c r="B78" s="38" t="s">
        <v>194</v>
      </c>
      <c r="C78" s="173"/>
      <c r="D78" s="174" t="s">
        <v>252</v>
      </c>
      <c r="E78" s="174"/>
      <c r="F78" s="42">
        <f>1334069</f>
        <v>1334069</v>
      </c>
      <c r="G78" s="43">
        <f>0</f>
        <v>0</v>
      </c>
      <c r="H78" s="43">
        <f>0</f>
        <v>0</v>
      </c>
    </row>
    <row r="79" spans="2:8" ht="15" customHeight="1" outlineLevel="3">
      <c r="B79" s="38" t="s">
        <v>136</v>
      </c>
      <c r="C79" s="173"/>
      <c r="D79" s="175" t="s">
        <v>253</v>
      </c>
      <c r="E79" s="175"/>
      <c r="F79" s="42">
        <f>500000</f>
        <v>500000</v>
      </c>
      <c r="G79" s="43">
        <f>0</f>
        <v>0</v>
      </c>
      <c r="H79" s="43">
        <f>0</f>
        <v>0</v>
      </c>
    </row>
    <row r="80" spans="2:8" ht="25.5" customHeight="1" outlineLevel="3">
      <c r="B80" s="38" t="s">
        <v>138</v>
      </c>
      <c r="C80" s="173"/>
      <c r="D80" s="175" t="s">
        <v>254</v>
      </c>
      <c r="E80" s="175"/>
      <c r="F80" s="42">
        <f>1334069</f>
        <v>1334069</v>
      </c>
      <c r="G80" s="43">
        <f>0</f>
        <v>0</v>
      </c>
      <c r="H80" s="43">
        <f>0</f>
        <v>0</v>
      </c>
    </row>
    <row r="81" spans="1:8" ht="25.5" customHeight="1" outlineLevel="1">
      <c r="B81" s="37">
        <v>13</v>
      </c>
      <c r="C81" s="187"/>
      <c r="D81" s="171" t="s">
        <v>140</v>
      </c>
      <c r="E81" s="194"/>
      <c r="F81" s="46" t="s">
        <v>29</v>
      </c>
      <c r="G81" s="47" t="s">
        <v>29</v>
      </c>
      <c r="H81" s="47" t="s">
        <v>29</v>
      </c>
    </row>
    <row r="82" spans="1:8" ht="25.5" customHeight="1" outlineLevel="2">
      <c r="B82" s="38" t="s">
        <v>195</v>
      </c>
      <c r="C82" s="173"/>
      <c r="D82" s="174" t="s">
        <v>255</v>
      </c>
      <c r="E82" s="174"/>
      <c r="F82" s="42">
        <f>0</f>
        <v>0</v>
      </c>
      <c r="G82" s="43">
        <f>0</f>
        <v>0</v>
      </c>
      <c r="H82" s="43">
        <f>0</f>
        <v>0</v>
      </c>
    </row>
    <row r="83" spans="1:8" ht="25.5" customHeight="1" outlineLevel="2">
      <c r="B83" s="38" t="s">
        <v>196</v>
      </c>
      <c r="C83" s="173"/>
      <c r="D83" s="174" t="s">
        <v>440</v>
      </c>
      <c r="E83" s="174"/>
      <c r="F83" s="42">
        <f>0</f>
        <v>0</v>
      </c>
      <c r="G83" s="43">
        <f>0</f>
        <v>0</v>
      </c>
      <c r="H83" s="43">
        <f>0</f>
        <v>0</v>
      </c>
    </row>
    <row r="84" spans="1:8" ht="25.5" customHeight="1" outlineLevel="2">
      <c r="B84" s="38" t="s">
        <v>197</v>
      </c>
      <c r="C84" s="173"/>
      <c r="D84" s="174" t="s">
        <v>256</v>
      </c>
      <c r="E84" s="174"/>
      <c r="F84" s="42">
        <f>0</f>
        <v>0</v>
      </c>
      <c r="G84" s="43">
        <f>0</f>
        <v>0</v>
      </c>
      <c r="H84" s="43">
        <f>0</f>
        <v>0</v>
      </c>
    </row>
    <row r="85" spans="1:8" ht="25.5" customHeight="1" outlineLevel="2">
      <c r="B85" s="38" t="s">
        <v>198</v>
      </c>
      <c r="C85" s="173"/>
      <c r="D85" s="174" t="s">
        <v>441</v>
      </c>
      <c r="E85" s="174"/>
      <c r="F85" s="42">
        <f>0</f>
        <v>0</v>
      </c>
      <c r="G85" s="43">
        <f>0</f>
        <v>0</v>
      </c>
      <c r="H85" s="43">
        <f>0</f>
        <v>0</v>
      </c>
    </row>
    <row r="86" spans="1:8" ht="25.5" customHeight="1" outlineLevel="2">
      <c r="B86" s="38" t="s">
        <v>199</v>
      </c>
      <c r="C86" s="173"/>
      <c r="D86" s="174" t="s">
        <v>442</v>
      </c>
      <c r="E86" s="174"/>
      <c r="F86" s="42">
        <f>0</f>
        <v>0</v>
      </c>
      <c r="G86" s="43">
        <f>0</f>
        <v>0</v>
      </c>
      <c r="H86" s="43">
        <f>0</f>
        <v>0</v>
      </c>
    </row>
    <row r="87" spans="1:8" ht="25.5" customHeight="1" outlineLevel="2">
      <c r="B87" s="38" t="s">
        <v>200</v>
      </c>
      <c r="C87" s="173"/>
      <c r="D87" s="174" t="s">
        <v>257</v>
      </c>
      <c r="E87" s="174"/>
      <c r="F87" s="42">
        <f>0</f>
        <v>0</v>
      </c>
      <c r="G87" s="43">
        <f>0</f>
        <v>0</v>
      </c>
      <c r="H87" s="43">
        <f>0</f>
        <v>0</v>
      </c>
    </row>
    <row r="88" spans="1:8" ht="25.5" customHeight="1" outlineLevel="2">
      <c r="B88" s="38" t="s">
        <v>201</v>
      </c>
      <c r="C88" s="173"/>
      <c r="D88" s="174" t="s">
        <v>258</v>
      </c>
      <c r="E88" s="174"/>
      <c r="F88" s="42">
        <f>0</f>
        <v>0</v>
      </c>
      <c r="G88" s="43">
        <f>0</f>
        <v>0</v>
      </c>
      <c r="H88" s="43">
        <f>0</f>
        <v>0</v>
      </c>
    </row>
    <row r="89" spans="1:8" ht="15" customHeight="1" outlineLevel="1">
      <c r="A89" s="186" t="s">
        <v>29</v>
      </c>
      <c r="B89" s="37">
        <v>14</v>
      </c>
      <c r="C89" s="187"/>
      <c r="D89" s="172" t="s">
        <v>148</v>
      </c>
      <c r="E89" s="192"/>
      <c r="F89" s="46" t="s">
        <v>29</v>
      </c>
      <c r="G89" s="47" t="s">
        <v>29</v>
      </c>
      <c r="H89" s="47" t="s">
        <v>29</v>
      </c>
    </row>
    <row r="90" spans="1:8" ht="25.5" customHeight="1" outlineLevel="2">
      <c r="A90" s="186" t="s">
        <v>29</v>
      </c>
      <c r="B90" s="38" t="s">
        <v>202</v>
      </c>
      <c r="C90" s="173"/>
      <c r="D90" s="174" t="s">
        <v>259</v>
      </c>
      <c r="E90" s="174"/>
      <c r="F90" s="42">
        <f>336951</f>
        <v>336951</v>
      </c>
      <c r="G90" s="43">
        <f>316151</f>
        <v>316151</v>
      </c>
      <c r="H90" s="43">
        <f>281751</f>
        <v>281751</v>
      </c>
    </row>
    <row r="91" spans="1:8" ht="15" customHeight="1" outlineLevel="2">
      <c r="A91" s="186" t="s">
        <v>29</v>
      </c>
      <c r="B91" s="38" t="s">
        <v>203</v>
      </c>
      <c r="C91" s="173"/>
      <c r="D91" s="174" t="s">
        <v>260</v>
      </c>
      <c r="E91" s="174"/>
      <c r="F91" s="42">
        <f>0</f>
        <v>0</v>
      </c>
      <c r="G91" s="43">
        <f>0</f>
        <v>0</v>
      </c>
      <c r="H91" s="43">
        <f>0</f>
        <v>0</v>
      </c>
    </row>
    <row r="92" spans="1:8" ht="15" customHeight="1" outlineLevel="2">
      <c r="A92" s="186" t="s">
        <v>29</v>
      </c>
      <c r="B92" s="38" t="s">
        <v>204</v>
      </c>
      <c r="C92" s="173"/>
      <c r="D92" s="174" t="s">
        <v>262</v>
      </c>
      <c r="E92" s="174"/>
      <c r="F92" s="42">
        <f>0</f>
        <v>0</v>
      </c>
      <c r="G92" s="43">
        <f>0</f>
        <v>0</v>
      </c>
      <c r="H92" s="43">
        <f>0</f>
        <v>0</v>
      </c>
    </row>
    <row r="93" spans="1:8" ht="15" customHeight="1" outlineLevel="3">
      <c r="A93" s="186" t="s">
        <v>29</v>
      </c>
      <c r="B93" s="38" t="s">
        <v>152</v>
      </c>
      <c r="C93" s="173"/>
      <c r="D93" s="175" t="s">
        <v>261</v>
      </c>
      <c r="E93" s="175"/>
      <c r="F93" s="42">
        <f>0</f>
        <v>0</v>
      </c>
      <c r="G93" s="43">
        <f>0</f>
        <v>0</v>
      </c>
      <c r="H93" s="43">
        <f>0</f>
        <v>0</v>
      </c>
    </row>
    <row r="94" spans="1:8" ht="15" customHeight="1" outlineLevel="3">
      <c r="A94" s="186" t="s">
        <v>29</v>
      </c>
      <c r="B94" s="38" t="s">
        <v>154</v>
      </c>
      <c r="C94" s="173"/>
      <c r="D94" s="175" t="s">
        <v>263</v>
      </c>
      <c r="E94" s="175"/>
      <c r="F94" s="42">
        <f>0</f>
        <v>0</v>
      </c>
      <c r="G94" s="43">
        <f>0</f>
        <v>0</v>
      </c>
      <c r="H94" s="43">
        <f>0</f>
        <v>0</v>
      </c>
    </row>
    <row r="95" spans="1:8" ht="15" customHeight="1" outlineLevel="3">
      <c r="A95" s="186" t="s">
        <v>29</v>
      </c>
      <c r="B95" s="38" t="s">
        <v>156</v>
      </c>
      <c r="C95" s="173"/>
      <c r="D95" s="175" t="s">
        <v>264</v>
      </c>
      <c r="E95" s="175"/>
      <c r="F95" s="42">
        <f>0</f>
        <v>0</v>
      </c>
      <c r="G95" s="43">
        <f>0</f>
        <v>0</v>
      </c>
      <c r="H95" s="43">
        <f>0</f>
        <v>0</v>
      </c>
    </row>
    <row r="96" spans="1:8" ht="15" customHeight="1" outlineLevel="2">
      <c r="A96" s="186" t="s">
        <v>29</v>
      </c>
      <c r="B96" s="39" t="s">
        <v>205</v>
      </c>
      <c r="C96" s="188"/>
      <c r="D96" s="184" t="s">
        <v>265</v>
      </c>
      <c r="E96" s="184"/>
      <c r="F96" s="48">
        <f>0</f>
        <v>0</v>
      </c>
      <c r="G96" s="49">
        <f>0</f>
        <v>0</v>
      </c>
      <c r="H96" s="49">
        <f>0</f>
        <v>0</v>
      </c>
    </row>
    <row r="97" spans="2:8">
      <c r="B97" s="68"/>
      <c r="C97" s="68"/>
      <c r="D97" s="68"/>
      <c r="E97" s="68"/>
      <c r="F97" s="68"/>
      <c r="G97" s="68"/>
      <c r="H97" s="68"/>
    </row>
    <row r="98" spans="2:8" ht="15">
      <c r="B98" s="78" t="s">
        <v>269</v>
      </c>
      <c r="C98" s="78"/>
      <c r="D98" s="68"/>
      <c r="E98" s="68"/>
      <c r="F98" s="68"/>
      <c r="G98" s="68"/>
      <c r="H98" s="68"/>
    </row>
    <row r="99" spans="2:8" ht="15">
      <c r="B99" s="79" t="s">
        <v>413</v>
      </c>
      <c r="C99" s="79"/>
      <c r="D99" s="68"/>
      <c r="E99" s="68"/>
      <c r="F99" s="68"/>
      <c r="G99" s="68"/>
      <c r="H99" s="68"/>
    </row>
    <row r="100" spans="2:8">
      <c r="B100" s="80"/>
      <c r="C100" s="80"/>
      <c r="D100" s="68"/>
      <c r="E100" s="68"/>
      <c r="F100" s="68"/>
      <c r="G100" s="68"/>
      <c r="H100" s="68"/>
    </row>
    <row r="101" spans="2:8">
      <c r="B101" s="80"/>
      <c r="C101" s="80"/>
      <c r="D101" s="68"/>
      <c r="E101" s="68"/>
      <c r="F101" s="68"/>
      <c r="G101" s="68"/>
      <c r="H101" s="68"/>
    </row>
    <row r="102" spans="2:8" ht="15">
      <c r="B102" s="81" t="s">
        <v>374</v>
      </c>
      <c r="C102" s="81"/>
      <c r="D102" s="81"/>
      <c r="E102" s="81"/>
      <c r="F102" s="68"/>
      <c r="G102" s="68"/>
      <c r="H102" s="68"/>
    </row>
    <row r="103" spans="2:8" outlineLevel="1">
      <c r="B103" s="82"/>
      <c r="C103" s="82"/>
      <c r="D103" s="83" t="s">
        <v>375</v>
      </c>
      <c r="E103" s="83"/>
      <c r="F103" s="68"/>
      <c r="G103" s="68"/>
      <c r="H103" s="68"/>
    </row>
    <row r="104" spans="2:8" outlineLevel="1">
      <c r="B104" s="82"/>
      <c r="C104" s="82"/>
      <c r="D104" s="84" t="s">
        <v>376</v>
      </c>
      <c r="E104" s="84"/>
      <c r="F104" s="68"/>
      <c r="G104" s="68"/>
      <c r="H104" s="68"/>
    </row>
    <row r="105" spans="2:8" outlineLevel="1">
      <c r="B105" s="82"/>
      <c r="C105" s="82"/>
      <c r="D105" s="85" t="s">
        <v>328</v>
      </c>
      <c r="E105" s="85"/>
      <c r="F105" s="68"/>
      <c r="G105" s="68"/>
      <c r="H105" s="68"/>
    </row>
    <row r="106" spans="2:8" outlineLevel="1">
      <c r="B106" s="144"/>
      <c r="C106" s="144"/>
      <c r="D106" s="145" t="s">
        <v>424</v>
      </c>
      <c r="E106" s="195"/>
      <c r="F106" s="68"/>
      <c r="G106" s="68"/>
      <c r="H106" s="68"/>
    </row>
    <row r="107" spans="2:8" outlineLevel="2">
      <c r="B107" s="177" t="s">
        <v>275</v>
      </c>
      <c r="C107" s="178"/>
      <c r="D107" s="51" t="s">
        <v>323</v>
      </c>
      <c r="E107" s="196"/>
      <c r="F107" s="162" t="str">
        <f>IF(ROUND(F3+F23+F25,2)&gt;=ROUND(F14-F17,2),"TAK","NIE")</f>
        <v>TAK</v>
      </c>
      <c r="G107" s="160" t="str">
        <f t="shared" ref="G107:H107" si="3">IF(ROUND(G3+G23+G25,2)&gt;=ROUND(G14-G17,2),"TAK","NIE")</f>
        <v>TAK</v>
      </c>
      <c r="H107" s="160" t="str">
        <f t="shared" si="3"/>
        <v>TAK</v>
      </c>
    </row>
    <row r="108" spans="2:8" outlineLevel="2">
      <c r="B108" s="179"/>
      <c r="C108" s="180"/>
      <c r="D108" s="52" t="s">
        <v>270</v>
      </c>
      <c r="E108" s="197"/>
      <c r="F108" s="163" t="str">
        <f>IF(F46&lt;=15%,"TAK","NIE")</f>
        <v>TAK</v>
      </c>
      <c r="G108" s="159" t="s">
        <v>29</v>
      </c>
      <c r="H108" s="159" t="s">
        <v>29</v>
      </c>
    </row>
    <row r="109" spans="2:8" outlineLevel="2">
      <c r="B109" s="179"/>
      <c r="C109" s="180"/>
      <c r="D109" s="52" t="s">
        <v>271</v>
      </c>
      <c r="E109" s="197"/>
      <c r="F109" s="163" t="str">
        <f>IF(F47&lt;=15%,"TAK","NIE")</f>
        <v>TAK</v>
      </c>
      <c r="G109" s="159" t="s">
        <v>29</v>
      </c>
      <c r="H109" s="159" t="s">
        <v>29</v>
      </c>
    </row>
    <row r="110" spans="2:8" outlineLevel="2">
      <c r="B110" s="179"/>
      <c r="C110" s="180"/>
      <c r="D110" s="52" t="s">
        <v>377</v>
      </c>
      <c r="E110" s="197"/>
      <c r="F110" s="163" t="str">
        <f>IF(F39&lt;=60%,"TAK","NIE")</f>
        <v>TAK</v>
      </c>
      <c r="G110" s="159" t="s">
        <v>29</v>
      </c>
      <c r="H110" s="159" t="s">
        <v>29</v>
      </c>
    </row>
    <row r="111" spans="2:8" outlineLevel="2">
      <c r="B111" s="179"/>
      <c r="C111" s="180"/>
      <c r="D111" s="52" t="s">
        <v>272</v>
      </c>
      <c r="E111" s="197"/>
      <c r="F111" s="163" t="str">
        <f>IF(F40&lt;=60%,"TAK","NIE")</f>
        <v>TAK</v>
      </c>
      <c r="G111" s="159" t="s">
        <v>29</v>
      </c>
      <c r="H111" s="159" t="s">
        <v>29</v>
      </c>
    </row>
    <row r="112" spans="2:8" ht="24" outlineLevel="2">
      <c r="B112" s="179" t="s">
        <v>273</v>
      </c>
      <c r="C112" s="180"/>
      <c r="D112" s="52" t="s">
        <v>395</v>
      </c>
      <c r="E112" s="197"/>
      <c r="F112" s="163" t="s">
        <v>29</v>
      </c>
      <c r="G112" s="159" t="s">
        <v>29</v>
      </c>
      <c r="H112" s="159" t="str">
        <f t="shared" ref="H112" si="4">IF(H84=0,"TAK","BŁĄD")</f>
        <v>TAK</v>
      </c>
    </row>
    <row r="113" spans="2:8" outlineLevel="1">
      <c r="B113" s="179" t="s">
        <v>274</v>
      </c>
      <c r="C113" s="180"/>
      <c r="D113" s="53" t="s">
        <v>324</v>
      </c>
      <c r="E113" s="198"/>
      <c r="F113" s="167" t="str">
        <f>IF(ROUND(F2+F22-F13-F31,2)=0,"OK",ROUND(F2+F22-F13-F31,2))</f>
        <v>OK</v>
      </c>
      <c r="G113" s="168" t="str">
        <f t="shared" ref="G113:H113" si="5">IF(ROUND(G2+G22-G13-G31,2)=0,"OK",ROUND(G2+G22-G13-G31,2))</f>
        <v>OK</v>
      </c>
      <c r="H113" s="168" t="str">
        <f t="shared" si="5"/>
        <v>OK</v>
      </c>
    </row>
    <row r="114" spans="2:8" outlineLevel="2">
      <c r="B114" s="185" t="s">
        <v>443</v>
      </c>
      <c r="C114" s="189"/>
      <c r="D114" s="53" t="s">
        <v>325</v>
      </c>
      <c r="E114" s="198"/>
      <c r="F114" s="167" t="e">
        <f>+IF(ROUND(#REF!+F27-F32+(F91-#REF!)+F96-F36,2)=0,"OK",ROUND(#REF!+F27-F32+(F91-#REF!)+F96-F36,2))</f>
        <v>#REF!</v>
      </c>
      <c r="G114" s="168" t="str">
        <f t="shared" ref="G114:H114" si="6">+IF(ROUND(F36+G27-G32+(G91-F91)+G96-G36,2)=0,"OK",ROUND(F36+G27-G32+(G91-F91)+G96-G36,2))</f>
        <v>OK</v>
      </c>
      <c r="H114" s="168" t="str">
        <f t="shared" si="6"/>
        <v>OK</v>
      </c>
    </row>
    <row r="115" spans="2:8" ht="60" outlineLevel="2">
      <c r="B115" s="185" t="s">
        <v>444</v>
      </c>
      <c r="C115" s="189"/>
      <c r="D115" s="53" t="s">
        <v>448</v>
      </c>
      <c r="E115" s="53"/>
      <c r="F115" s="168" t="e">
        <f>+IF(#REF!=0,"N/D",IF(ROUND(F91+F92-#REF!,2)=0,"OK",ROUND(F91+F92-#REF!,2)))</f>
        <v>#REF!</v>
      </c>
      <c r="G115" s="168" t="str">
        <f t="shared" ref="G115:H115" si="7">+IF(F91=0,"N/D",IF(ROUND(G91+G92-F91,2)=0,"OK",ROUND(G91+G92-F91,2)))</f>
        <v>N/D</v>
      </c>
      <c r="H115" s="168" t="str">
        <f t="shared" si="7"/>
        <v>N/D</v>
      </c>
    </row>
    <row r="116" spans="2:8" ht="36" outlineLevel="2">
      <c r="B116" s="185" t="s">
        <v>446</v>
      </c>
      <c r="C116" s="189"/>
      <c r="D116" s="53" t="s">
        <v>445</v>
      </c>
      <c r="E116" s="198"/>
      <c r="F116" s="167" t="e">
        <f>+IF(#REF!=0,"N/D",IF(ROUND(F82+(F84+F85+F86+F87)-#REF!,2)=0,"OK",ROUND(F82+(F84+F85+F86+F87)-#REF!,2)))</f>
        <v>#REF!</v>
      </c>
      <c r="G116" s="168" t="str">
        <f t="shared" ref="G116:H116" si="8">+IF(F82=0,"N/D",IF(ROUND(G82+(G84+G85+G86+G87)-F82,2)=0,"OK",ROUND(G82+(G84+G85+G86+G87)-F82,2)))</f>
        <v>N/D</v>
      </c>
      <c r="H116" s="168" t="str">
        <f t="shared" si="8"/>
        <v>N/D</v>
      </c>
    </row>
    <row r="117" spans="2:8" outlineLevel="1">
      <c r="B117" s="179" t="s">
        <v>276</v>
      </c>
      <c r="C117" s="180"/>
      <c r="D117" s="54" t="s">
        <v>326</v>
      </c>
      <c r="E117" s="199"/>
      <c r="F117" s="165" t="str">
        <f>IF(F21&lt;0,IF(ROUND(F24+F26+F28+F30+F21,2)=0,"OK",ROUND(F24+F26+F28+F30+F21,2)),"N/D")</f>
        <v>OK</v>
      </c>
      <c r="G117" s="166" t="str">
        <f t="shared" ref="G117:H117" si="9">IF(G21&lt;0,IF(ROUND(G24+G26+G28+G30+G21,2)=0,"OK",ROUND(G24+G26+G28+G30+G21,2)),"N/D")</f>
        <v>N/D</v>
      </c>
      <c r="H117" s="166" t="str">
        <f t="shared" si="9"/>
        <v>N/D</v>
      </c>
    </row>
    <row r="118" spans="2:8" ht="24" outlineLevel="2">
      <c r="B118" s="179" t="s">
        <v>277</v>
      </c>
      <c r="C118" s="180"/>
      <c r="D118" s="54" t="s">
        <v>327</v>
      </c>
      <c r="E118" s="199"/>
      <c r="F118" s="165" t="str">
        <f>IF(F21&gt;=0,IF(ROUND(F24+F26+F28+F30,2)=0,"OK",ROUND(F24+F26+F28+F30,2)),"N/D")</f>
        <v>N/D</v>
      </c>
      <c r="G118" s="166" t="str">
        <f t="shared" ref="G118:H118" si="10">IF(G21&gt;=0,IF(ROUND(G24+G26+G28+G30,2)=0,"OK",ROUND(G24+G26+G28+G30,2)),"N/D")</f>
        <v>OK</v>
      </c>
      <c r="H118" s="166" t="str">
        <f t="shared" si="10"/>
        <v>OK</v>
      </c>
    </row>
    <row r="119" spans="2:8" outlineLevel="2">
      <c r="B119" s="179" t="s">
        <v>278</v>
      </c>
      <c r="C119" s="180"/>
      <c r="D119" s="54" t="s">
        <v>329</v>
      </c>
      <c r="E119" s="199"/>
      <c r="F119" s="163" t="str">
        <f t="shared" ref="F119:H119" si="11">IF(F6&gt;=F7,"OK","BŁĄD")</f>
        <v>OK</v>
      </c>
      <c r="G119" s="159" t="str">
        <f t="shared" si="11"/>
        <v>OK</v>
      </c>
      <c r="H119" s="159" t="str">
        <f t="shared" si="11"/>
        <v>OK</v>
      </c>
    </row>
    <row r="120" spans="2:8" outlineLevel="2">
      <c r="B120" s="179" t="s">
        <v>279</v>
      </c>
      <c r="C120" s="180"/>
      <c r="D120" s="54" t="s">
        <v>330</v>
      </c>
      <c r="E120" s="199"/>
      <c r="F120" s="163" t="str">
        <f t="shared" ref="F120:H120" si="12">IF(F9&gt;=F83,"OK","BŁĄD")</f>
        <v>OK</v>
      </c>
      <c r="G120" s="159" t="str">
        <f t="shared" si="12"/>
        <v>OK</v>
      </c>
      <c r="H120" s="159" t="str">
        <f t="shared" si="12"/>
        <v>OK</v>
      </c>
    </row>
    <row r="121" spans="2:8" outlineLevel="2">
      <c r="B121" s="179" t="s">
        <v>280</v>
      </c>
      <c r="C121" s="180"/>
      <c r="D121" s="54" t="s">
        <v>331</v>
      </c>
      <c r="E121" s="199"/>
      <c r="F121" s="163" t="str">
        <f t="shared" ref="F121:H121" si="13">IF(F3&gt;=F4+F5+F6+F8+F9,"OK","BŁĄD")</f>
        <v>OK</v>
      </c>
      <c r="G121" s="159" t="str">
        <f t="shared" si="13"/>
        <v>OK</v>
      </c>
      <c r="H121" s="159" t="str">
        <f t="shared" si="13"/>
        <v>OK</v>
      </c>
    </row>
    <row r="122" spans="2:8" outlineLevel="2">
      <c r="B122" s="179" t="s">
        <v>281</v>
      </c>
      <c r="C122" s="180"/>
      <c r="D122" s="54" t="s">
        <v>332</v>
      </c>
      <c r="E122" s="199"/>
      <c r="F122" s="163" t="str">
        <f t="shared" ref="F122:H122" si="14">IF(F3&gt;=F69,"OK","BŁĄD")</f>
        <v>OK</v>
      </c>
      <c r="G122" s="159" t="str">
        <f t="shared" si="14"/>
        <v>OK</v>
      </c>
      <c r="H122" s="159" t="str">
        <f t="shared" si="14"/>
        <v>OK</v>
      </c>
    </row>
    <row r="123" spans="2:8" outlineLevel="2">
      <c r="B123" s="179" t="s">
        <v>282</v>
      </c>
      <c r="C123" s="180"/>
      <c r="D123" s="54" t="s">
        <v>333</v>
      </c>
      <c r="E123" s="199"/>
      <c r="F123" s="163" t="str">
        <f t="shared" ref="F123:H123" si="15">IF(F10&gt;=F11,"OK","BŁĄD")</f>
        <v>OK</v>
      </c>
      <c r="G123" s="159" t="str">
        <f t="shared" si="15"/>
        <v>OK</v>
      </c>
      <c r="H123" s="159" t="str">
        <f t="shared" si="15"/>
        <v>OK</v>
      </c>
    </row>
    <row r="124" spans="2:8" outlineLevel="2">
      <c r="B124" s="179" t="s">
        <v>283</v>
      </c>
      <c r="C124" s="180"/>
      <c r="D124" s="54" t="s">
        <v>334</v>
      </c>
      <c r="E124" s="199"/>
      <c r="F124" s="163" t="str">
        <f t="shared" ref="F124:H124" si="16">IF(F10&gt;=F12,"OK","BŁĄD")</f>
        <v>OK</v>
      </c>
      <c r="G124" s="159" t="str">
        <f t="shared" si="16"/>
        <v>OK</v>
      </c>
      <c r="H124" s="159" t="str">
        <f t="shared" si="16"/>
        <v>OK</v>
      </c>
    </row>
    <row r="125" spans="2:8" outlineLevel="2">
      <c r="B125" s="179" t="s">
        <v>284</v>
      </c>
      <c r="C125" s="180"/>
      <c r="D125" s="54" t="s">
        <v>335</v>
      </c>
      <c r="E125" s="199"/>
      <c r="F125" s="163" t="str">
        <f t="shared" ref="F125:H125" si="17">IF(F10&gt;=F72,"OK","BŁĄD")</f>
        <v>OK</v>
      </c>
      <c r="G125" s="159" t="str">
        <f t="shared" si="17"/>
        <v>OK</v>
      </c>
      <c r="H125" s="159" t="str">
        <f t="shared" si="17"/>
        <v>OK</v>
      </c>
    </row>
    <row r="126" spans="2:8" outlineLevel="2">
      <c r="B126" s="179" t="s">
        <v>285</v>
      </c>
      <c r="C126" s="180"/>
      <c r="D126" s="54" t="s">
        <v>336</v>
      </c>
      <c r="E126" s="199"/>
      <c r="F126" s="163" t="str">
        <f t="shared" ref="F126:H126" si="18">IF(F57&gt;=F58,"OK","BŁĄD")</f>
        <v>OK</v>
      </c>
      <c r="G126" s="159" t="str">
        <f t="shared" si="18"/>
        <v>OK</v>
      </c>
      <c r="H126" s="159" t="str">
        <f t="shared" si="18"/>
        <v>OK</v>
      </c>
    </row>
    <row r="127" spans="2:8" outlineLevel="2">
      <c r="B127" s="179" t="s">
        <v>287</v>
      </c>
      <c r="C127" s="180"/>
      <c r="D127" s="54" t="s">
        <v>338</v>
      </c>
      <c r="E127" s="199"/>
      <c r="F127" s="163" t="str">
        <f t="shared" ref="F127:H127" si="19">IF(F69&gt;=F70,"OK","BŁĄD")</f>
        <v>OK</v>
      </c>
      <c r="G127" s="159" t="str">
        <f t="shared" si="19"/>
        <v>OK</v>
      </c>
      <c r="H127" s="159" t="str">
        <f t="shared" si="19"/>
        <v>OK</v>
      </c>
    </row>
    <row r="128" spans="2:8" outlineLevel="2">
      <c r="B128" s="179" t="s">
        <v>286</v>
      </c>
      <c r="C128" s="180"/>
      <c r="D128" s="54" t="s">
        <v>337</v>
      </c>
      <c r="E128" s="199"/>
      <c r="F128" s="163" t="str">
        <f t="shared" ref="F128:H128" si="20">IF(F70&gt;=F71,"OK","BŁĄD")</f>
        <v>OK</v>
      </c>
      <c r="G128" s="159" t="str">
        <f t="shared" si="20"/>
        <v>OK</v>
      </c>
      <c r="H128" s="159" t="str">
        <f t="shared" si="20"/>
        <v>OK</v>
      </c>
    </row>
    <row r="129" spans="2:8" outlineLevel="2">
      <c r="B129" s="179" t="s">
        <v>289</v>
      </c>
      <c r="C129" s="180"/>
      <c r="D129" s="54" t="s">
        <v>340</v>
      </c>
      <c r="E129" s="199"/>
      <c r="F129" s="163" t="str">
        <f t="shared" ref="F129:H129" si="21">IF(F72&gt;=F73,"OK","BŁĄD")</f>
        <v>OK</v>
      </c>
      <c r="G129" s="159" t="str">
        <f t="shared" si="21"/>
        <v>OK</v>
      </c>
      <c r="H129" s="159" t="str">
        <f t="shared" si="21"/>
        <v>OK</v>
      </c>
    </row>
    <row r="130" spans="2:8" outlineLevel="2">
      <c r="B130" s="179" t="s">
        <v>288</v>
      </c>
      <c r="C130" s="180"/>
      <c r="D130" s="54" t="s">
        <v>339</v>
      </c>
      <c r="E130" s="199"/>
      <c r="F130" s="163" t="str">
        <f t="shared" ref="F130:H130" si="22">IF(F73&gt;=F74,"OK","BŁĄD")</f>
        <v>OK</v>
      </c>
      <c r="G130" s="159" t="str">
        <f t="shared" si="22"/>
        <v>OK</v>
      </c>
      <c r="H130" s="159" t="str">
        <f t="shared" si="22"/>
        <v>OK</v>
      </c>
    </row>
    <row r="131" spans="2:8" outlineLevel="2">
      <c r="B131" s="179" t="s">
        <v>290</v>
      </c>
      <c r="C131" s="180"/>
      <c r="D131" s="54" t="s">
        <v>341</v>
      </c>
      <c r="E131" s="199"/>
      <c r="F131" s="163" t="str">
        <f t="shared" ref="F131:H131" si="23">IF(F75&gt;=F76,"OK","BŁĄD")</f>
        <v>OK</v>
      </c>
      <c r="G131" s="159" t="str">
        <f t="shared" si="23"/>
        <v>OK</v>
      </c>
      <c r="H131" s="159" t="str">
        <f t="shared" si="23"/>
        <v>OK</v>
      </c>
    </row>
    <row r="132" spans="2:8" outlineLevel="2">
      <c r="B132" s="179" t="s">
        <v>291</v>
      </c>
      <c r="C132" s="180"/>
      <c r="D132" s="54" t="s">
        <v>342</v>
      </c>
      <c r="E132" s="199"/>
      <c r="F132" s="163" t="str">
        <f t="shared" ref="F132:H132" si="24">IF(F75&gt;=F77,"OK","BŁĄD")</f>
        <v>OK</v>
      </c>
      <c r="G132" s="159" t="str">
        <f t="shared" si="24"/>
        <v>OK</v>
      </c>
      <c r="H132" s="159" t="str">
        <f t="shared" si="24"/>
        <v>OK</v>
      </c>
    </row>
    <row r="133" spans="2:8" outlineLevel="2">
      <c r="B133" s="179" t="s">
        <v>292</v>
      </c>
      <c r="C133" s="180"/>
      <c r="D133" s="54" t="s">
        <v>343</v>
      </c>
      <c r="E133" s="199"/>
      <c r="F133" s="163" t="str">
        <f t="shared" ref="F133:H133" si="25">IF(F78&gt;=F79,"OK","BŁĄD")</f>
        <v>OK</v>
      </c>
      <c r="G133" s="159" t="str">
        <f t="shared" si="25"/>
        <v>OK</v>
      </c>
      <c r="H133" s="159" t="str">
        <f t="shared" si="25"/>
        <v>OK</v>
      </c>
    </row>
    <row r="134" spans="2:8" outlineLevel="2">
      <c r="B134" s="179" t="s">
        <v>293</v>
      </c>
      <c r="C134" s="180"/>
      <c r="D134" s="54" t="s">
        <v>344</v>
      </c>
      <c r="E134" s="199"/>
      <c r="F134" s="163" t="str">
        <f t="shared" ref="F134:H134" si="26">IF(F78&gt;=F80,"OK","BŁĄD")</f>
        <v>OK</v>
      </c>
      <c r="G134" s="159" t="str">
        <f t="shared" si="26"/>
        <v>OK</v>
      </c>
      <c r="H134" s="159" t="str">
        <f t="shared" si="26"/>
        <v>OK</v>
      </c>
    </row>
    <row r="135" spans="2:8" outlineLevel="2">
      <c r="B135" s="179" t="s">
        <v>294</v>
      </c>
      <c r="C135" s="180"/>
      <c r="D135" s="54" t="s">
        <v>345</v>
      </c>
      <c r="E135" s="199"/>
      <c r="F135" s="163" t="str">
        <f t="shared" ref="F135:H135" si="27">IF(F82&gt;=F84,"OK","BŁĄD")</f>
        <v>OK</v>
      </c>
      <c r="G135" s="159" t="str">
        <f t="shared" si="27"/>
        <v>OK</v>
      </c>
      <c r="H135" s="159" t="str">
        <f t="shared" si="27"/>
        <v>OK</v>
      </c>
    </row>
    <row r="136" spans="2:8" outlineLevel="2">
      <c r="B136" s="179" t="s">
        <v>295</v>
      </c>
      <c r="C136" s="180"/>
      <c r="D136" s="54" t="s">
        <v>346</v>
      </c>
      <c r="E136" s="199"/>
      <c r="F136" s="163" t="str">
        <f t="shared" ref="F136:H136" si="28">IF(F85&gt;=F17,"OK","BŁĄD")</f>
        <v>OK</v>
      </c>
      <c r="G136" s="159" t="str">
        <f t="shared" si="28"/>
        <v>OK</v>
      </c>
      <c r="H136" s="159" t="str">
        <f t="shared" si="28"/>
        <v>OK</v>
      </c>
    </row>
    <row r="137" spans="2:8" outlineLevel="2">
      <c r="B137" s="179" t="s">
        <v>296</v>
      </c>
      <c r="C137" s="180"/>
      <c r="D137" s="54" t="s">
        <v>347</v>
      </c>
      <c r="E137" s="199"/>
      <c r="F137" s="163" t="str">
        <f t="shared" ref="F137:H137" si="29">IF(F92&gt;=(F93+F94+F95),"OK","BŁĄD")</f>
        <v>OK</v>
      </c>
      <c r="G137" s="159" t="str">
        <f t="shared" si="29"/>
        <v>OK</v>
      </c>
      <c r="H137" s="159" t="str">
        <f t="shared" si="29"/>
        <v>OK</v>
      </c>
    </row>
    <row r="138" spans="2:8" outlineLevel="2">
      <c r="B138" s="179" t="s">
        <v>298</v>
      </c>
      <c r="C138" s="180"/>
      <c r="D138" s="54" t="s">
        <v>349</v>
      </c>
      <c r="E138" s="199"/>
      <c r="F138" s="163" t="str">
        <f t="shared" ref="F138:H138" si="30">IF(F15&gt;=F16,"OK","BŁĄD")</f>
        <v>OK</v>
      </c>
      <c r="G138" s="159" t="str">
        <f t="shared" si="30"/>
        <v>OK</v>
      </c>
      <c r="H138" s="159" t="str">
        <f t="shared" si="30"/>
        <v>OK</v>
      </c>
    </row>
    <row r="139" spans="2:8" outlineLevel="2">
      <c r="B139" s="179" t="s">
        <v>297</v>
      </c>
      <c r="C139" s="180"/>
      <c r="D139" s="54" t="s">
        <v>348</v>
      </c>
      <c r="E139" s="199"/>
      <c r="F139" s="163" t="str">
        <f t="shared" ref="F139:H139" si="31">IF(F15&gt;=F95,"OK","BŁĄD")</f>
        <v>OK</v>
      </c>
      <c r="G139" s="159" t="str">
        <f t="shared" si="31"/>
        <v>OK</v>
      </c>
      <c r="H139" s="159" t="str">
        <f t="shared" si="31"/>
        <v>OK</v>
      </c>
    </row>
    <row r="140" spans="2:8" outlineLevel="2">
      <c r="B140" s="179" t="s">
        <v>299</v>
      </c>
      <c r="C140" s="180"/>
      <c r="D140" s="54" t="s">
        <v>350</v>
      </c>
      <c r="E140" s="199"/>
      <c r="F140" s="163" t="str">
        <f t="shared" ref="F140:H140" si="32">IF(F18&gt;=F19,"OK","BŁĄD")</f>
        <v>OK</v>
      </c>
      <c r="G140" s="159" t="str">
        <f t="shared" si="32"/>
        <v>OK</v>
      </c>
      <c r="H140" s="159" t="str">
        <f t="shared" si="32"/>
        <v>OK</v>
      </c>
    </row>
    <row r="141" spans="2:8" outlineLevel="2">
      <c r="B141" s="179" t="s">
        <v>300</v>
      </c>
      <c r="C141" s="180"/>
      <c r="D141" s="54" t="s">
        <v>351</v>
      </c>
      <c r="E141" s="199"/>
      <c r="F141" s="163" t="str">
        <f t="shared" ref="F141:H141" si="33">IF(F14&gt;=(F15+F17+F18),"OK","BŁĄD")</f>
        <v>OK</v>
      </c>
      <c r="G141" s="159" t="str">
        <f t="shared" si="33"/>
        <v>OK</v>
      </c>
      <c r="H141" s="159" t="str">
        <f t="shared" si="33"/>
        <v>OK</v>
      </c>
    </row>
    <row r="142" spans="2:8" outlineLevel="2">
      <c r="B142" s="179" t="s">
        <v>301</v>
      </c>
      <c r="C142" s="180"/>
      <c r="D142" s="54" t="s">
        <v>352</v>
      </c>
      <c r="E142" s="199"/>
      <c r="F142" s="163" t="str">
        <f t="shared" ref="F142:H142" si="34">IF(F14&gt;=F60,"OK","BŁĄD")</f>
        <v>OK</v>
      </c>
      <c r="G142" s="159" t="str">
        <f t="shared" si="34"/>
        <v>OK</v>
      </c>
      <c r="H142" s="159" t="str">
        <f t="shared" si="34"/>
        <v>OK</v>
      </c>
    </row>
    <row r="143" spans="2:8" outlineLevel="2">
      <c r="B143" s="179" t="s">
        <v>302</v>
      </c>
      <c r="C143" s="180"/>
      <c r="D143" s="54" t="s">
        <v>353</v>
      </c>
      <c r="E143" s="199"/>
      <c r="F143" s="163" t="str">
        <f t="shared" ref="F143:H143" si="35">IF(F14&gt;=F63,"OK","BŁĄD")</f>
        <v>OK</v>
      </c>
      <c r="G143" s="159" t="str">
        <f t="shared" si="35"/>
        <v>OK</v>
      </c>
      <c r="H143" s="159" t="str">
        <f t="shared" si="35"/>
        <v>OK</v>
      </c>
    </row>
    <row r="144" spans="2:8" outlineLevel="2">
      <c r="B144" s="179" t="s">
        <v>303</v>
      </c>
      <c r="C144" s="180"/>
      <c r="D144" s="54" t="s">
        <v>354</v>
      </c>
      <c r="E144" s="199"/>
      <c r="F144" s="163" t="str">
        <f t="shared" ref="F144:H144" si="36">IF(F14&gt;=F75,"OK","BŁĄD")</f>
        <v>OK</v>
      </c>
      <c r="G144" s="159" t="str">
        <f t="shared" si="36"/>
        <v>OK</v>
      </c>
      <c r="H144" s="159" t="str">
        <f t="shared" si="36"/>
        <v>OK</v>
      </c>
    </row>
    <row r="145" spans="2:8" outlineLevel="2">
      <c r="B145" s="179" t="s">
        <v>304</v>
      </c>
      <c r="C145" s="180"/>
      <c r="D145" s="54" t="s">
        <v>355</v>
      </c>
      <c r="E145" s="199"/>
      <c r="F145" s="163" t="str">
        <f t="shared" ref="F145:H145" si="37">IF(F14&gt;=F88,"OK","BŁĄD")</f>
        <v>OK</v>
      </c>
      <c r="G145" s="159" t="str">
        <f t="shared" si="37"/>
        <v>OK</v>
      </c>
      <c r="H145" s="159" t="str">
        <f t="shared" si="37"/>
        <v>OK</v>
      </c>
    </row>
    <row r="146" spans="2:8" outlineLevel="2">
      <c r="B146" s="179" t="s">
        <v>305</v>
      </c>
      <c r="C146" s="180"/>
      <c r="D146" s="54" t="s">
        <v>356</v>
      </c>
      <c r="E146" s="199"/>
      <c r="F146" s="163" t="str">
        <f t="shared" ref="F146:H146" si="38">IF(F20&gt;=F64,"OK","BŁĄD")</f>
        <v>OK</v>
      </c>
      <c r="G146" s="159" t="str">
        <f t="shared" si="38"/>
        <v>OK</v>
      </c>
      <c r="H146" s="159" t="str">
        <f t="shared" si="38"/>
        <v>OK</v>
      </c>
    </row>
    <row r="147" spans="2:8" outlineLevel="2">
      <c r="B147" s="179" t="s">
        <v>306</v>
      </c>
      <c r="C147" s="180"/>
      <c r="D147" s="54" t="s">
        <v>357</v>
      </c>
      <c r="E147" s="199"/>
      <c r="F147" s="163" t="str">
        <f t="shared" ref="F147:H147" si="39">IF(F20&gt;=F65+F66,"OK","BŁĄD")</f>
        <v>OK</v>
      </c>
      <c r="G147" s="159" t="str">
        <f t="shared" si="39"/>
        <v>OK</v>
      </c>
      <c r="H147" s="159" t="str">
        <f t="shared" si="39"/>
        <v>OK</v>
      </c>
    </row>
    <row r="148" spans="2:8" outlineLevel="2">
      <c r="B148" s="179" t="s">
        <v>307</v>
      </c>
      <c r="C148" s="180"/>
      <c r="D148" s="54" t="s">
        <v>358</v>
      </c>
      <c r="E148" s="199"/>
      <c r="F148" s="163" t="str">
        <f t="shared" ref="F148:H148" si="40">IF(F20&gt;=F67,"OK","BŁĄD")</f>
        <v>OK</v>
      </c>
      <c r="G148" s="159" t="str">
        <f t="shared" si="40"/>
        <v>OK</v>
      </c>
      <c r="H148" s="159" t="str">
        <f t="shared" si="40"/>
        <v>OK</v>
      </c>
    </row>
    <row r="149" spans="2:8" outlineLevel="2">
      <c r="B149" s="179" t="s">
        <v>308</v>
      </c>
      <c r="C149" s="180"/>
      <c r="D149" s="54" t="s">
        <v>359</v>
      </c>
      <c r="E149" s="199"/>
      <c r="F149" s="163" t="str">
        <f t="shared" ref="F149:H149" si="41">IF(F20&gt;=F78,"OK","BŁĄD")</f>
        <v>OK</v>
      </c>
      <c r="G149" s="159" t="str">
        <f t="shared" si="41"/>
        <v>OK</v>
      </c>
      <c r="H149" s="159" t="str">
        <f t="shared" si="41"/>
        <v>OK</v>
      </c>
    </row>
    <row r="150" spans="2:8" outlineLevel="2">
      <c r="B150" s="179" t="s">
        <v>309</v>
      </c>
      <c r="C150" s="180"/>
      <c r="D150" s="54" t="s">
        <v>360</v>
      </c>
      <c r="E150" s="199"/>
      <c r="F150" s="163" t="str">
        <f t="shared" ref="F150:H150" si="42">IF(F23&gt;=F24,"OK","BŁĄD")</f>
        <v>OK</v>
      </c>
      <c r="G150" s="159" t="str">
        <f t="shared" si="42"/>
        <v>OK</v>
      </c>
      <c r="H150" s="159" t="str">
        <f t="shared" si="42"/>
        <v>OK</v>
      </c>
    </row>
    <row r="151" spans="2:8" outlineLevel="2">
      <c r="B151" s="179" t="s">
        <v>310</v>
      </c>
      <c r="C151" s="180"/>
      <c r="D151" s="54" t="s">
        <v>361</v>
      </c>
      <c r="E151" s="199"/>
      <c r="F151" s="163" t="str">
        <f t="shared" ref="F151:H151" si="43">IF(F25&gt;=F26,"OK","BŁĄD")</f>
        <v>OK</v>
      </c>
      <c r="G151" s="159" t="str">
        <f t="shared" si="43"/>
        <v>OK</v>
      </c>
      <c r="H151" s="159" t="str">
        <f t="shared" si="43"/>
        <v>OK</v>
      </c>
    </row>
    <row r="152" spans="2:8" outlineLevel="2">
      <c r="B152" s="179" t="s">
        <v>311</v>
      </c>
      <c r="C152" s="180"/>
      <c r="D152" s="54" t="s">
        <v>362</v>
      </c>
      <c r="E152" s="199"/>
      <c r="F152" s="163" t="str">
        <f t="shared" ref="F152:H152" si="44">IF(F27&gt;=F28,"OK","BŁĄD")</f>
        <v>OK</v>
      </c>
      <c r="G152" s="159" t="str">
        <f t="shared" si="44"/>
        <v>OK</v>
      </c>
      <c r="H152" s="159" t="str">
        <f t="shared" si="44"/>
        <v>OK</v>
      </c>
    </row>
    <row r="153" spans="2:8" outlineLevel="2">
      <c r="B153" s="179" t="s">
        <v>312</v>
      </c>
      <c r="C153" s="180"/>
      <c r="D153" s="54" t="s">
        <v>363</v>
      </c>
      <c r="E153" s="199"/>
      <c r="F153" s="163" t="str">
        <f t="shared" ref="F153:H153" si="45">IF(F29&gt;=F30,"OK","BŁĄD")</f>
        <v>OK</v>
      </c>
      <c r="G153" s="159" t="str">
        <f t="shared" si="45"/>
        <v>OK</v>
      </c>
      <c r="H153" s="159" t="str">
        <f t="shared" si="45"/>
        <v>OK</v>
      </c>
    </row>
    <row r="154" spans="2:8" outlineLevel="2">
      <c r="B154" s="179" t="s">
        <v>316</v>
      </c>
      <c r="C154" s="180"/>
      <c r="D154" s="54" t="s">
        <v>367</v>
      </c>
      <c r="E154" s="199"/>
      <c r="F154" s="163" t="str">
        <f t="shared" ref="F154:H154" si="46">IF(F32&gt;=F33,"OK","BŁĄD")</f>
        <v>OK</v>
      </c>
      <c r="G154" s="159" t="str">
        <f t="shared" si="46"/>
        <v>OK</v>
      </c>
      <c r="H154" s="159" t="str">
        <f t="shared" si="46"/>
        <v>OK</v>
      </c>
    </row>
    <row r="155" spans="2:8" outlineLevel="2">
      <c r="B155" s="179" t="s">
        <v>313</v>
      </c>
      <c r="C155" s="180"/>
      <c r="D155" s="54" t="s">
        <v>364</v>
      </c>
      <c r="E155" s="199"/>
      <c r="F155" s="163" t="str">
        <f t="shared" ref="F155:H155" si="47">IF(F33&gt;=F34,"OK","BŁĄD")</f>
        <v>OK</v>
      </c>
      <c r="G155" s="159" t="str">
        <f t="shared" si="47"/>
        <v>OK</v>
      </c>
      <c r="H155" s="159" t="str">
        <f t="shared" si="47"/>
        <v>OK</v>
      </c>
    </row>
    <row r="156" spans="2:8" outlineLevel="2">
      <c r="B156" s="179" t="s">
        <v>314</v>
      </c>
      <c r="C156" s="180"/>
      <c r="D156" s="54" t="s">
        <v>365</v>
      </c>
      <c r="E156" s="199"/>
      <c r="F156" s="163" t="str">
        <f t="shared" ref="F156:H156" si="48">IF(F32&gt;=F58,"OK","BŁĄD")</f>
        <v>OK</v>
      </c>
      <c r="G156" s="159" t="str">
        <f t="shared" si="48"/>
        <v>OK</v>
      </c>
      <c r="H156" s="159" t="str">
        <f t="shared" si="48"/>
        <v>OK</v>
      </c>
    </row>
    <row r="157" spans="2:8" outlineLevel="2">
      <c r="B157" s="179" t="s">
        <v>315</v>
      </c>
      <c r="C157" s="180"/>
      <c r="D157" s="54" t="s">
        <v>366</v>
      </c>
      <c r="E157" s="199"/>
      <c r="F157" s="163" t="str">
        <f t="shared" ref="F157:H157" si="49">IF(F32&gt;=F90,"OK","BŁĄD")</f>
        <v>OK</v>
      </c>
      <c r="G157" s="159" t="str">
        <f t="shared" si="49"/>
        <v>OK</v>
      </c>
      <c r="H157" s="159" t="str">
        <f t="shared" si="49"/>
        <v>OK</v>
      </c>
    </row>
    <row r="158" spans="2:8" outlineLevel="2">
      <c r="B158" s="179" t="s">
        <v>319</v>
      </c>
      <c r="C158" s="180"/>
      <c r="D158" s="54" t="s">
        <v>370</v>
      </c>
      <c r="E158" s="199"/>
      <c r="F158" s="163" t="str">
        <f t="shared" ref="F158:H158" si="50">IF(F36&gt;=F37,"OK","BŁĄD")</f>
        <v>OK</v>
      </c>
      <c r="G158" s="159" t="str">
        <f t="shared" si="50"/>
        <v>OK</v>
      </c>
      <c r="H158" s="159" t="str">
        <f t="shared" si="50"/>
        <v>OK</v>
      </c>
    </row>
    <row r="159" spans="2:8" outlineLevel="2">
      <c r="B159" s="179" t="s">
        <v>320</v>
      </c>
      <c r="C159" s="180"/>
      <c r="D159" s="54" t="s">
        <v>371</v>
      </c>
      <c r="E159" s="199"/>
      <c r="F159" s="163" t="str">
        <f t="shared" ref="F159:H159" si="51">IF(F36&gt;=F41,"OK","BŁĄD")</f>
        <v>OK</v>
      </c>
      <c r="G159" s="159" t="str">
        <f t="shared" si="51"/>
        <v>OK</v>
      </c>
      <c r="H159" s="159" t="str">
        <f t="shared" si="51"/>
        <v>OK</v>
      </c>
    </row>
    <row r="160" spans="2:8" outlineLevel="2">
      <c r="B160" s="179" t="s">
        <v>318</v>
      </c>
      <c r="C160" s="180"/>
      <c r="D160" s="54" t="s">
        <v>369</v>
      </c>
      <c r="E160" s="199"/>
      <c r="F160" s="163" t="str">
        <f t="shared" ref="F160:H160" si="52">IF(F36&gt;=F91,"OK","BŁĄD")</f>
        <v>OK</v>
      </c>
      <c r="G160" s="159" t="str">
        <f t="shared" si="52"/>
        <v>OK</v>
      </c>
      <c r="H160" s="159" t="str">
        <f t="shared" si="52"/>
        <v>OK</v>
      </c>
    </row>
    <row r="161" spans="2:8" outlineLevel="2">
      <c r="B161" s="179" t="s">
        <v>317</v>
      </c>
      <c r="C161" s="180"/>
      <c r="D161" s="54" t="s">
        <v>368</v>
      </c>
      <c r="E161" s="199"/>
      <c r="F161" s="163" t="str">
        <f t="shared" ref="F161:H161" si="53">+IF(F37&gt;=F38,"OK","BŁĄD")</f>
        <v>OK</v>
      </c>
      <c r="G161" s="159" t="str">
        <f t="shared" si="53"/>
        <v>OK</v>
      </c>
      <c r="H161" s="159" t="str">
        <f t="shared" si="53"/>
        <v>OK</v>
      </c>
    </row>
    <row r="162" spans="2:8" outlineLevel="2">
      <c r="B162" s="179" t="s">
        <v>321</v>
      </c>
      <c r="C162" s="180"/>
      <c r="D162" s="54" t="s">
        <v>372</v>
      </c>
      <c r="E162" s="199"/>
      <c r="F162" s="163" t="str">
        <f t="shared" ref="F162:H162" si="54">IF(F41&gt;=F82,"OK","BŁĄD")</f>
        <v>OK</v>
      </c>
      <c r="G162" s="159" t="str">
        <f t="shared" si="54"/>
        <v>OK</v>
      </c>
      <c r="H162" s="159" t="str">
        <f t="shared" si="54"/>
        <v>OK</v>
      </c>
    </row>
    <row r="163" spans="2:8" outlineLevel="2">
      <c r="B163" s="181" t="s">
        <v>322</v>
      </c>
      <c r="C163" s="182"/>
      <c r="D163" s="55" t="s">
        <v>373</v>
      </c>
      <c r="E163" s="200"/>
      <c r="F163" s="164" t="str">
        <f t="shared" ref="F163:H163" si="55">IF(F18&lt;&gt;0,IF(F19&lt;&gt;0,"OK","BŁĄD"),"N/D")</f>
        <v>OK</v>
      </c>
      <c r="G163" s="161" t="str">
        <f t="shared" si="55"/>
        <v>OK</v>
      </c>
      <c r="H163" s="161" t="str">
        <f t="shared" si="55"/>
        <v>OK</v>
      </c>
    </row>
    <row r="164" spans="2:8" outlineLevel="2">
      <c r="B164" s="50"/>
      <c r="C164" s="50"/>
      <c r="D164" s="50"/>
      <c r="E164" s="50"/>
      <c r="F164" s="22"/>
      <c r="G164" s="22"/>
      <c r="H164" s="22"/>
    </row>
    <row r="165" spans="2:8" outlineLevel="1">
      <c r="B165" s="50"/>
      <c r="C165" s="50"/>
      <c r="D165" s="145" t="s">
        <v>423</v>
      </c>
      <c r="E165" s="195"/>
      <c r="F165" s="22"/>
      <c r="G165" s="22"/>
      <c r="H165" s="22"/>
    </row>
    <row r="166" spans="2:8" ht="15" outlineLevel="2">
      <c r="B166" s="90"/>
      <c r="C166" s="90"/>
      <c r="D166" s="91" t="s">
        <v>30</v>
      </c>
      <c r="E166" s="201"/>
      <c r="F166" s="92">
        <f t="shared" ref="F166:H166" si="56">F3+F10</f>
        <v>8714844.0099999998</v>
      </c>
      <c r="G166" s="93">
        <f t="shared" si="56"/>
        <v>7658635</v>
      </c>
      <c r="H166" s="93">
        <f t="shared" si="56"/>
        <v>7690743</v>
      </c>
    </row>
    <row r="167" spans="2:8" ht="15" outlineLevel="2">
      <c r="B167" s="90"/>
      <c r="C167" s="90"/>
      <c r="D167" s="94" t="s">
        <v>31</v>
      </c>
      <c r="E167" s="202"/>
      <c r="F167" s="95">
        <f t="shared" ref="F167:H167" si="57">F14+F20</f>
        <v>11071373.01</v>
      </c>
      <c r="G167" s="96">
        <f t="shared" si="57"/>
        <v>7658635</v>
      </c>
      <c r="H167" s="96">
        <f t="shared" si="57"/>
        <v>7258992</v>
      </c>
    </row>
    <row r="168" spans="2:8" ht="15" outlineLevel="2">
      <c r="B168" s="90"/>
      <c r="C168" s="90"/>
      <c r="D168" s="94" t="s">
        <v>378</v>
      </c>
      <c r="E168" s="202"/>
      <c r="F168" s="95">
        <f t="shared" ref="F168:H168" si="58">F2-F13</f>
        <v>-2356529</v>
      </c>
      <c r="G168" s="96">
        <f t="shared" si="58"/>
        <v>0</v>
      </c>
      <c r="H168" s="96">
        <f t="shared" si="58"/>
        <v>431751</v>
      </c>
    </row>
    <row r="169" spans="2:8" ht="15" outlineLevel="2">
      <c r="B169" s="90"/>
      <c r="C169" s="90"/>
      <c r="D169" s="97" t="s">
        <v>379</v>
      </c>
      <c r="E169" s="203"/>
      <c r="F169" s="95" t="e">
        <f>#REF!+F27-F32+(F91-#REF!)+F96</f>
        <v>#REF!</v>
      </c>
      <c r="G169" s="96">
        <f t="shared" ref="G169:H169" si="59">F36+G27-G32+(G91-F91)+G96</f>
        <v>3318757.43</v>
      </c>
      <c r="H169" s="96">
        <f t="shared" si="59"/>
        <v>2887006.43</v>
      </c>
    </row>
    <row r="170" spans="2:8" ht="24" outlineLevel="2">
      <c r="B170" s="90"/>
      <c r="C170" s="90"/>
      <c r="D170" s="98" t="s">
        <v>427</v>
      </c>
      <c r="E170" s="204"/>
      <c r="F170" s="99" t="e">
        <f>#REF!-(F84+F85+F86+F87)</f>
        <v>#REF!</v>
      </c>
      <c r="G170" s="100">
        <f t="shared" ref="G170:H170" si="60">F82-(G84+G85+G86+G87)</f>
        <v>0</v>
      </c>
      <c r="H170" s="100">
        <f t="shared" si="60"/>
        <v>0</v>
      </c>
    </row>
    <row r="172" spans="2:8" ht="15.75">
      <c r="D172" s="142" t="s">
        <v>32</v>
      </c>
      <c r="E172" s="142"/>
    </row>
    <row r="173" spans="2:8" outlineLevel="1">
      <c r="D173" s="143" t="s">
        <v>37</v>
      </c>
      <c r="E173" s="143"/>
    </row>
    <row r="174" spans="2:8" outlineLevel="2">
      <c r="D174" s="28">
        <v>0</v>
      </c>
      <c r="E174" s="28"/>
      <c r="F174" s="21"/>
      <c r="G174" s="2"/>
      <c r="H174" s="2"/>
    </row>
    <row r="175" spans="2:8" outlineLevel="2">
      <c r="D175" s="29">
        <v>5.0000000000000001E-3</v>
      </c>
      <c r="E175" s="29"/>
      <c r="F175" s="21"/>
      <c r="G175" s="2"/>
      <c r="H175" s="2"/>
    </row>
    <row r="176" spans="2:8" outlineLevel="2">
      <c r="D176" s="30">
        <v>0.01</v>
      </c>
      <c r="E176" s="30"/>
      <c r="F176" s="21"/>
      <c r="G176" s="2"/>
      <c r="H176" s="2"/>
    </row>
    <row r="177" spans="2:8" outlineLevel="2">
      <c r="D177" s="132" t="s">
        <v>414</v>
      </c>
      <c r="E177" s="205"/>
      <c r="F177" s="133">
        <f t="shared" ref="F177:H177" si="61">+IF(F2=0,"",F53-F48)</f>
        <v>4.5900000000000003E-2</v>
      </c>
      <c r="G177" s="134">
        <f t="shared" si="61"/>
        <v>3.0000000000000859E-4</v>
      </c>
      <c r="H177" s="134">
        <f t="shared" si="61"/>
        <v>1.0699999999999987E-2</v>
      </c>
    </row>
    <row r="178" spans="2:8" outlineLevel="2">
      <c r="D178" s="135" t="s">
        <v>415</v>
      </c>
      <c r="E178" s="206"/>
      <c r="F178" s="136">
        <f t="shared" ref="F178:H178" si="62">+IF(F2=0,"",F53-F49)</f>
        <v>4.5900000000000003E-2</v>
      </c>
      <c r="G178" s="137">
        <f t="shared" si="62"/>
        <v>3.0000000000000859E-4</v>
      </c>
      <c r="H178" s="137">
        <f t="shared" si="62"/>
        <v>1.0699999999999987E-2</v>
      </c>
    </row>
    <row r="179" spans="2:8" outlineLevel="2">
      <c r="D179" s="132" t="s">
        <v>416</v>
      </c>
      <c r="E179" s="205"/>
      <c r="F179" s="133">
        <f t="shared" ref="F179:H179" si="63">+IF(F2=0,"",F54-F48)</f>
        <v>4.9700000000000001E-2</v>
      </c>
      <c r="G179" s="134">
        <f t="shared" si="63"/>
        <v>4.1000000000000064E-3</v>
      </c>
      <c r="H179" s="134">
        <f t="shared" si="63"/>
        <v>1.4499999999999999E-2</v>
      </c>
    </row>
    <row r="180" spans="2:8" outlineLevel="2">
      <c r="D180" s="135" t="s">
        <v>417</v>
      </c>
      <c r="E180" s="206"/>
      <c r="F180" s="136">
        <f t="shared" ref="F180:H180" si="64">+IF(F2=0,"",F54-F49)</f>
        <v>4.9700000000000001E-2</v>
      </c>
      <c r="G180" s="137">
        <f t="shared" si="64"/>
        <v>4.1000000000000064E-3</v>
      </c>
      <c r="H180" s="137">
        <f t="shared" si="64"/>
        <v>1.4499999999999999E-2</v>
      </c>
    </row>
    <row r="181" spans="2:8" outlineLevel="1">
      <c r="D181" s="143" t="s">
        <v>419</v>
      </c>
      <c r="E181" s="143"/>
      <c r="F181" s="2"/>
      <c r="G181" s="2"/>
      <c r="H181" s="2"/>
    </row>
    <row r="182" spans="2:8" outlineLevel="2">
      <c r="D182" s="25">
        <v>0.05</v>
      </c>
      <c r="E182" s="25"/>
      <c r="G182" s="2"/>
      <c r="H182" s="2"/>
    </row>
    <row r="183" spans="2:8" outlineLevel="2">
      <c r="D183" s="26">
        <v>0.1</v>
      </c>
      <c r="E183" s="26"/>
      <c r="G183" s="2"/>
      <c r="H183" s="2"/>
    </row>
    <row r="184" spans="2:8" outlineLevel="2">
      <c r="D184" s="27">
        <v>0.2</v>
      </c>
      <c r="E184" s="27"/>
      <c r="G184" s="2"/>
      <c r="H184" s="2"/>
    </row>
    <row r="185" spans="2:8" outlineLevel="2">
      <c r="B185" s="122"/>
      <c r="C185" s="122"/>
      <c r="D185" s="102" t="s">
        <v>24</v>
      </c>
      <c r="E185" s="207"/>
      <c r="F185" s="123" t="e">
        <f>+IF(F2=0,0,IF(#REF!&lt;&gt;0,F211/#REF!-1,0))</f>
        <v>#REF!</v>
      </c>
      <c r="G185" s="124">
        <f t="shared" ref="G185:H185" si="65">+IF(G2=0,0,IF(F211&lt;&gt;0,G211/F211-1,0))</f>
        <v>-0.12119654795748891</v>
      </c>
      <c r="H185" s="124">
        <f t="shared" si="65"/>
        <v>4.1923919863005032E-3</v>
      </c>
    </row>
    <row r="186" spans="2:8" outlineLevel="2">
      <c r="B186" s="101"/>
      <c r="C186" s="101"/>
      <c r="D186" s="103" t="s">
        <v>382</v>
      </c>
      <c r="E186" s="208"/>
      <c r="F186" s="104" t="e">
        <f>+IF(F2=0,0,IF(#REF!&lt;&gt;0,F212/#REF!-1,0))</f>
        <v>#REF!</v>
      </c>
      <c r="G186" s="105">
        <f t="shared" ref="G186:H186" si="66">+IF(G2=0,0,IF(F212&lt;&gt;0,G212/F212-1,0))</f>
        <v>-3.4689803493243576E-2</v>
      </c>
      <c r="H186" s="105">
        <f t="shared" si="66"/>
        <v>4.1923919863005032E-3</v>
      </c>
    </row>
    <row r="187" spans="2:8" outlineLevel="2">
      <c r="B187" s="101"/>
      <c r="C187" s="101"/>
      <c r="D187" s="106" t="s">
        <v>383</v>
      </c>
      <c r="E187" s="209"/>
      <c r="F187" s="104" t="e">
        <f>+IF(F2=0,0,IF(#REF!&lt;&gt;0,F213/#REF!-1,0))</f>
        <v>#REF!</v>
      </c>
      <c r="G187" s="105">
        <f t="shared" ref="G187:H187" si="67">+IF(G2=0,0,IF(F213&lt;&gt;0,G213/F213-1,0))</f>
        <v>3.7186652472300574E-2</v>
      </c>
      <c r="H187" s="105">
        <f t="shared" si="67"/>
        <v>4.1923919863005032E-3</v>
      </c>
    </row>
    <row r="188" spans="2:8" outlineLevel="2">
      <c r="B188" s="101"/>
      <c r="C188" s="101"/>
      <c r="D188" s="106" t="s">
        <v>384</v>
      </c>
      <c r="E188" s="209"/>
      <c r="F188" s="104" t="e">
        <f>+IF(F2=0,0,IF(#REF!&lt;&gt;0,F214/#REF!-1,0))</f>
        <v>#REF!</v>
      </c>
      <c r="G188" s="105">
        <f t="shared" ref="G188:H188" si="68">+IF(G2=0,0,IF(F214&lt;&gt;0,G214/F214-1,0))</f>
        <v>-1</v>
      </c>
      <c r="H188" s="105">
        <f t="shared" si="68"/>
        <v>0</v>
      </c>
    </row>
    <row r="189" spans="2:8" ht="24" outlineLevel="2">
      <c r="B189" s="101"/>
      <c r="C189" s="101"/>
      <c r="D189" s="106" t="s">
        <v>385</v>
      </c>
      <c r="E189" s="209"/>
      <c r="F189" s="104" t="e">
        <f>+IF(F2=0,0,IF(#REF!&lt;&gt;0,F215/#REF!-1,0))</f>
        <v>#REF!</v>
      </c>
      <c r="G189" s="105">
        <f t="shared" ref="G189:H189" si="69">+IF(G2=0,0,IF(F215&lt;&gt;0,G215/F215-1,0))</f>
        <v>-1</v>
      </c>
      <c r="H189" s="105">
        <f t="shared" si="69"/>
        <v>0</v>
      </c>
    </row>
    <row r="190" spans="2:8" outlineLevel="2">
      <c r="B190" s="101"/>
      <c r="C190" s="101"/>
      <c r="D190" s="107" t="s">
        <v>33</v>
      </c>
      <c r="E190" s="210"/>
      <c r="F190" s="108" t="e">
        <f>+IF(F2=0,0,IF(#REF!&lt;&gt;0,F216/#REF!-1,0))</f>
        <v>#REF!</v>
      </c>
      <c r="G190" s="109">
        <f t="shared" ref="G190:H190" si="70">+IF(G2=0,0,IF(F216&lt;&gt;0,G216/F216-1,0))</f>
        <v>-1</v>
      </c>
      <c r="H190" s="109">
        <f t="shared" si="70"/>
        <v>0</v>
      </c>
    </row>
    <row r="191" spans="2:8" outlineLevel="2">
      <c r="B191" s="122"/>
      <c r="C191" s="122"/>
      <c r="D191" s="102" t="s">
        <v>19</v>
      </c>
      <c r="E191" s="207"/>
      <c r="F191" s="123" t="e">
        <f>+IF(F2=0,0,IF(#REF!&lt;&gt;0,F217/#REF!-1,0))</f>
        <v>#REF!</v>
      </c>
      <c r="G191" s="124">
        <f t="shared" ref="G191:H191" si="71">+IF(G2=0,0,IF(F217&lt;&gt;0,G217/F217-1,0))</f>
        <v>-0.30824885106097599</v>
      </c>
      <c r="H191" s="124">
        <f t="shared" si="71"/>
        <v>-5.2182014157875378E-2</v>
      </c>
    </row>
    <row r="192" spans="2:8" ht="24" outlineLevel="2">
      <c r="B192" s="101"/>
      <c r="C192" s="101"/>
      <c r="D192" s="110" t="s">
        <v>381</v>
      </c>
      <c r="E192" s="211"/>
      <c r="F192" s="104" t="e">
        <f>+IF(F2=0,0,IF(#REF!&lt;&gt;0,F218/#REF!-1,0))</f>
        <v>#REF!</v>
      </c>
      <c r="G192" s="105">
        <f t="shared" ref="G192:H192" si="72">+IF(G2=0,0,IF(F218&lt;&gt;0,G218/F218-1,0))</f>
        <v>-0.21267431761580546</v>
      </c>
      <c r="H192" s="105">
        <f t="shared" si="72"/>
        <v>-5.2182014157875378E-2</v>
      </c>
    </row>
    <row r="193" spans="2:8" outlineLevel="2">
      <c r="B193" s="122"/>
      <c r="C193" s="122"/>
      <c r="D193" s="111" t="s">
        <v>34</v>
      </c>
      <c r="E193" s="212"/>
      <c r="F193" s="125" t="e">
        <f>+IF(F2=0,0,IF(#REF!&lt;&gt;0,F219/#REF!-1,0))</f>
        <v>#REF!</v>
      </c>
      <c r="G193" s="126">
        <f t="shared" ref="G193:H193" si="73">+IF(G2=0,0,IF(F219&lt;&gt;0,G219/F219-1,0))</f>
        <v>-3.3688604878422734E-2</v>
      </c>
      <c r="H193" s="126">
        <f t="shared" si="73"/>
        <v>2.722292330433973E-2</v>
      </c>
    </row>
    <row r="194" spans="2:8" ht="24" outlineLevel="2">
      <c r="B194" s="101"/>
      <c r="C194" s="101"/>
      <c r="D194" s="106" t="s">
        <v>36</v>
      </c>
      <c r="E194" s="209"/>
      <c r="F194" s="104" t="e">
        <f>+IF(F2=0,0,IF(#REF!&lt;&gt;0,F220/#REF!-1,0))</f>
        <v>#REF!</v>
      </c>
      <c r="G194" s="105">
        <f t="shared" ref="G194:H194" si="74">+IF(G2=0,0,IF(F220&lt;&gt;0,G220/F220-1,0))</f>
        <v>-3.235399827824903E-2</v>
      </c>
      <c r="H194" s="105">
        <f t="shared" si="74"/>
        <v>2.722292330433973E-2</v>
      </c>
    </row>
    <row r="195" spans="2:8" outlineLevel="2">
      <c r="B195" s="101"/>
      <c r="C195" s="101"/>
      <c r="D195" s="106" t="s">
        <v>35</v>
      </c>
      <c r="E195" s="209"/>
      <c r="F195" s="104" t="e">
        <f>+IF(F2=0,0,IF(#REF!&lt;&gt;0,F221/#REF!-1,0))</f>
        <v>#REF!</v>
      </c>
      <c r="G195" s="105">
        <f t="shared" ref="G195:H195" si="75">+IF(G2=0,0,IF(F221&lt;&gt;0,G221/F221-1,0))</f>
        <v>1.0665840675930349E-2</v>
      </c>
      <c r="H195" s="105">
        <f t="shared" si="75"/>
        <v>1.9903498190591007E-2</v>
      </c>
    </row>
    <row r="196" spans="2:8" ht="36" outlineLevel="2">
      <c r="B196" s="101"/>
      <c r="C196" s="101"/>
      <c r="D196" s="107" t="s">
        <v>380</v>
      </c>
      <c r="E196" s="213"/>
      <c r="F196" s="112" t="e">
        <f>+IF(F2=0,0,IF(#REF!&lt;&gt;0,F222/#REF!-1,0))</f>
        <v>#REF!</v>
      </c>
      <c r="G196" s="113">
        <f t="shared" ref="G196:H196" si="76">+IF(G2=0,0,IF(F222&lt;&gt;0,G222/F222-1,0))</f>
        <v>-0.15577537882798553</v>
      </c>
      <c r="H196" s="113">
        <f t="shared" si="76"/>
        <v>3.096569964878082E-2</v>
      </c>
    </row>
    <row r="197" spans="2:8" outlineLevel="1">
      <c r="B197" s="101"/>
      <c r="C197" s="101"/>
      <c r="D197" s="143" t="s">
        <v>420</v>
      </c>
      <c r="E197" s="143"/>
      <c r="F197" s="114"/>
      <c r="G197" s="114"/>
      <c r="H197" s="114"/>
    </row>
    <row r="198" spans="2:8" outlineLevel="2">
      <c r="B198" s="122"/>
      <c r="C198" s="122"/>
      <c r="D198" s="102" t="s">
        <v>24</v>
      </c>
      <c r="E198" s="207"/>
      <c r="F198" s="127" t="e">
        <f>+IF(F$211=0,"",F211-#REF!)</f>
        <v>#REF!</v>
      </c>
      <c r="G198" s="128">
        <f t="shared" ref="G198:H198" si="77">+IF(G$211=0,"",G211-F211)</f>
        <v>-1056209.0099999998</v>
      </c>
      <c r="H198" s="128">
        <f t="shared" si="77"/>
        <v>32108</v>
      </c>
    </row>
    <row r="199" spans="2:8" outlineLevel="2">
      <c r="B199" s="101"/>
      <c r="C199" s="101"/>
      <c r="D199" s="103" t="s">
        <v>382</v>
      </c>
      <c r="E199" s="208"/>
      <c r="F199" s="115" t="e">
        <f>+IF(F$211=0,"",F212-#REF!)</f>
        <v>#REF!</v>
      </c>
      <c r="G199" s="116">
        <f t="shared" ref="G199:H199" si="78">+IF(G$211=0,"",G212-F212)</f>
        <v>-275224.00999999978</v>
      </c>
      <c r="H199" s="116">
        <f t="shared" si="78"/>
        <v>32108</v>
      </c>
    </row>
    <row r="200" spans="2:8" outlineLevel="2">
      <c r="B200" s="101"/>
      <c r="C200" s="101"/>
      <c r="D200" s="106" t="s">
        <v>383</v>
      </c>
      <c r="E200" s="209"/>
      <c r="F200" s="115" t="e">
        <f>+IF(F$211=0,"",F213-#REF!)</f>
        <v>#REF!</v>
      </c>
      <c r="G200" s="116">
        <f t="shared" ref="G200:H200" si="79">+IF(G$211=0,"",G213-F213)</f>
        <v>274587.99000000022</v>
      </c>
      <c r="H200" s="116">
        <f t="shared" si="79"/>
        <v>32108</v>
      </c>
    </row>
    <row r="201" spans="2:8" outlineLevel="2">
      <c r="B201" s="101"/>
      <c r="C201" s="101"/>
      <c r="D201" s="106" t="s">
        <v>384</v>
      </c>
      <c r="E201" s="209"/>
      <c r="F201" s="115" t="e">
        <f>+IF(F$211=0,"",F214-#REF!)</f>
        <v>#REF!</v>
      </c>
      <c r="G201" s="116">
        <f t="shared" ref="G201:H201" si="80">+IF(G$211=0,"",G214-F214)</f>
        <v>-549812</v>
      </c>
      <c r="H201" s="116">
        <f t="shared" si="80"/>
        <v>0</v>
      </c>
    </row>
    <row r="202" spans="2:8" ht="24" outlineLevel="2">
      <c r="B202" s="101"/>
      <c r="C202" s="101"/>
      <c r="D202" s="106" t="s">
        <v>385</v>
      </c>
      <c r="E202" s="209"/>
      <c r="F202" s="115" t="e">
        <f>+IF(F$211=0,"",F215-#REF!)</f>
        <v>#REF!</v>
      </c>
      <c r="G202" s="116">
        <f t="shared" ref="G202:H202" si="81">+IF(G$211=0,"",G215-F215)</f>
        <v>-55612</v>
      </c>
      <c r="H202" s="116">
        <f t="shared" si="81"/>
        <v>0</v>
      </c>
    </row>
    <row r="203" spans="2:8" outlineLevel="2">
      <c r="B203" s="101"/>
      <c r="C203" s="101"/>
      <c r="D203" s="107" t="s">
        <v>33</v>
      </c>
      <c r="E203" s="213"/>
      <c r="F203" s="117" t="e">
        <f>+IF(F$211=0,"",F216-#REF!)</f>
        <v>#REF!</v>
      </c>
      <c r="G203" s="118">
        <f t="shared" ref="G203:H203" si="82">+IF(G$211=0,"",G216-F216)</f>
        <v>-494200</v>
      </c>
      <c r="H203" s="118">
        <f t="shared" si="82"/>
        <v>0</v>
      </c>
    </row>
    <row r="204" spans="2:8" outlineLevel="2">
      <c r="B204" s="122"/>
      <c r="C204" s="122"/>
      <c r="D204" s="102" t="s">
        <v>19</v>
      </c>
      <c r="E204" s="207"/>
      <c r="F204" s="127" t="e">
        <f>+IF(F$217=0,"",F217-#REF!)</f>
        <v>#REF!</v>
      </c>
      <c r="G204" s="128">
        <f t="shared" ref="G204:H209" si="83">+IF(G$217=0,"",G217-F217)</f>
        <v>-3412738.01</v>
      </c>
      <c r="H204" s="128">
        <f t="shared" si="83"/>
        <v>-399643</v>
      </c>
    </row>
    <row r="205" spans="2:8" ht="24" outlineLevel="2">
      <c r="B205" s="101"/>
      <c r="C205" s="101"/>
      <c r="D205" s="110" t="s">
        <v>381</v>
      </c>
      <c r="E205" s="211"/>
      <c r="F205" s="115" t="e">
        <f>+IF(F$217=0,"",F218-#REF!)</f>
        <v>#REF!</v>
      </c>
      <c r="G205" s="116">
        <f t="shared" ref="G205:H205" si="84">+IF(G$217=0,"",G218-F218)</f>
        <v>-2068769.0099999998</v>
      </c>
      <c r="H205" s="116">
        <f t="shared" si="84"/>
        <v>-399643</v>
      </c>
    </row>
    <row r="206" spans="2:8" outlineLevel="2">
      <c r="B206" s="122"/>
      <c r="C206" s="122"/>
      <c r="D206" s="111" t="s">
        <v>34</v>
      </c>
      <c r="E206" s="212"/>
      <c r="F206" s="129" t="e">
        <f>+IF(F$217=0,"",F219-#REF!)</f>
        <v>#REF!</v>
      </c>
      <c r="G206" s="130">
        <f t="shared" si="83"/>
        <v>-241814.00999999978</v>
      </c>
      <c r="H206" s="130">
        <f t="shared" si="83"/>
        <v>188821</v>
      </c>
    </row>
    <row r="207" spans="2:8" ht="24" outlineLevel="2">
      <c r="B207" s="101"/>
      <c r="C207" s="101"/>
      <c r="D207" s="106" t="s">
        <v>36</v>
      </c>
      <c r="E207" s="209"/>
      <c r="F207" s="115" t="e">
        <f>+IF(F$217=0,"",F220-#REF!)</f>
        <v>#REF!</v>
      </c>
      <c r="G207" s="116">
        <f t="shared" si="83"/>
        <v>-231914.00999999978</v>
      </c>
      <c r="H207" s="116">
        <f t="shared" si="83"/>
        <v>188821</v>
      </c>
    </row>
    <row r="208" spans="2:8" outlineLevel="2">
      <c r="B208" s="101"/>
      <c r="C208" s="101"/>
      <c r="D208" s="106" t="s">
        <v>35</v>
      </c>
      <c r="E208" s="209"/>
      <c r="F208" s="115" t="e">
        <f>+IF(F$217=0,"",F221-#REF!)</f>
        <v>#REF!</v>
      </c>
      <c r="G208" s="116">
        <f t="shared" si="83"/>
        <v>34994.680000000168</v>
      </c>
      <c r="H208" s="116">
        <f t="shared" si="83"/>
        <v>66000</v>
      </c>
    </row>
    <row r="209" spans="2:8" ht="36" outlineLevel="2">
      <c r="B209" s="101"/>
      <c r="C209" s="101"/>
      <c r="D209" s="107" t="s">
        <v>380</v>
      </c>
      <c r="E209" s="213"/>
      <c r="F209" s="117" t="e">
        <f>+IF(F$217=0,"",F222-#REF!)</f>
        <v>#REF!</v>
      </c>
      <c r="G209" s="118">
        <f t="shared" si="83"/>
        <v>-415722.68999999994</v>
      </c>
      <c r="H209" s="118">
        <f t="shared" si="83"/>
        <v>69766</v>
      </c>
    </row>
    <row r="210" spans="2:8" outlineLevel="1">
      <c r="B210" s="101"/>
      <c r="C210" s="101"/>
      <c r="D210" s="143" t="s">
        <v>422</v>
      </c>
      <c r="E210" s="143"/>
      <c r="F210" s="114"/>
      <c r="G210" s="114"/>
      <c r="H210" s="114"/>
    </row>
    <row r="211" spans="2:8" outlineLevel="2">
      <c r="B211" s="122"/>
      <c r="C211" s="122"/>
      <c r="D211" s="102" t="s">
        <v>24</v>
      </c>
      <c r="E211" s="207"/>
      <c r="F211" s="127">
        <f t="shared" ref="F211:H211" si="85">+F2</f>
        <v>8714844.0099999998</v>
      </c>
      <c r="G211" s="128">
        <f t="shared" si="85"/>
        <v>7658635</v>
      </c>
      <c r="H211" s="128">
        <f t="shared" si="85"/>
        <v>7690743</v>
      </c>
    </row>
    <row r="212" spans="2:8" outlineLevel="2">
      <c r="B212" s="101"/>
      <c r="C212" s="101"/>
      <c r="D212" s="103" t="s">
        <v>382</v>
      </c>
      <c r="E212" s="208"/>
      <c r="F212" s="115">
        <f>+(F2-F69-F72)</f>
        <v>7933859.0099999998</v>
      </c>
      <c r="G212" s="116">
        <f t="shared" ref="G212:H212" si="86">+(G2-G69-G72)</f>
        <v>7658635</v>
      </c>
      <c r="H212" s="116">
        <f t="shared" si="86"/>
        <v>7690743</v>
      </c>
    </row>
    <row r="213" spans="2:8" outlineLevel="2">
      <c r="B213" s="101"/>
      <c r="C213" s="101"/>
      <c r="D213" s="106" t="s">
        <v>383</v>
      </c>
      <c r="E213" s="209"/>
      <c r="F213" s="115">
        <f>+F3-F69</f>
        <v>7384047.0099999998</v>
      </c>
      <c r="G213" s="116">
        <f t="shared" ref="G213:H213" si="87">+G3-G69</f>
        <v>7658635</v>
      </c>
      <c r="H213" s="116">
        <f t="shared" si="87"/>
        <v>7690743</v>
      </c>
    </row>
    <row r="214" spans="2:8" outlineLevel="2">
      <c r="B214" s="101"/>
      <c r="C214" s="101"/>
      <c r="D214" s="106" t="s">
        <v>384</v>
      </c>
      <c r="E214" s="209"/>
      <c r="F214" s="115">
        <f>+F10-F72</f>
        <v>549812</v>
      </c>
      <c r="G214" s="116">
        <f t="shared" ref="G214:H214" si="88">+G10-G72</f>
        <v>0</v>
      </c>
      <c r="H214" s="116">
        <f t="shared" si="88"/>
        <v>0</v>
      </c>
    </row>
    <row r="215" spans="2:8" ht="24" outlineLevel="2">
      <c r="B215" s="101"/>
      <c r="C215" s="101"/>
      <c r="D215" s="106" t="s">
        <v>385</v>
      </c>
      <c r="E215" s="209"/>
      <c r="F215" s="115">
        <f>+F10-F72-F11</f>
        <v>55612</v>
      </c>
      <c r="G215" s="116">
        <f t="shared" ref="G215:H215" si="89">+G10-G72-G11</f>
        <v>0</v>
      </c>
      <c r="H215" s="116">
        <f t="shared" si="89"/>
        <v>0</v>
      </c>
    </row>
    <row r="216" spans="2:8" outlineLevel="2">
      <c r="B216" s="101"/>
      <c r="C216" s="101"/>
      <c r="D216" s="107" t="s">
        <v>33</v>
      </c>
      <c r="E216" s="213"/>
      <c r="F216" s="117">
        <f>+F11</f>
        <v>494200</v>
      </c>
      <c r="G216" s="118">
        <f t="shared" ref="G216:H216" si="90">+G11</f>
        <v>0</v>
      </c>
      <c r="H216" s="118">
        <f t="shared" si="90"/>
        <v>0</v>
      </c>
    </row>
    <row r="217" spans="2:8" outlineLevel="2">
      <c r="B217" s="122"/>
      <c r="C217" s="122"/>
      <c r="D217" s="102" t="s">
        <v>19</v>
      </c>
      <c r="E217" s="207"/>
      <c r="F217" s="127">
        <f>+F13</f>
        <v>11071373.01</v>
      </c>
      <c r="G217" s="128">
        <f t="shared" ref="G217:H217" si="91">+G13</f>
        <v>7658635</v>
      </c>
      <c r="H217" s="128">
        <f t="shared" si="91"/>
        <v>7258992</v>
      </c>
    </row>
    <row r="218" spans="2:8" ht="24" outlineLevel="2">
      <c r="B218" s="101"/>
      <c r="C218" s="101"/>
      <c r="D218" s="110" t="s">
        <v>381</v>
      </c>
      <c r="E218" s="211"/>
      <c r="F218" s="115">
        <f>+F13-F75-F78</f>
        <v>9727404.0099999998</v>
      </c>
      <c r="G218" s="116">
        <f t="shared" ref="G218:H218" si="92">+G13-G75-G78</f>
        <v>7658635</v>
      </c>
      <c r="H218" s="116">
        <f t="shared" si="92"/>
        <v>7258992</v>
      </c>
    </row>
    <row r="219" spans="2:8" outlineLevel="2">
      <c r="B219" s="122"/>
      <c r="C219" s="122"/>
      <c r="D219" s="111" t="s">
        <v>34</v>
      </c>
      <c r="E219" s="212"/>
      <c r="F219" s="129">
        <f>+F14</f>
        <v>7177917.0099999998</v>
      </c>
      <c r="G219" s="130">
        <f t="shared" ref="G219:H219" si="93">+G14</f>
        <v>6936103</v>
      </c>
      <c r="H219" s="130">
        <f t="shared" si="93"/>
        <v>7124924</v>
      </c>
    </row>
    <row r="220" spans="2:8" ht="24" outlineLevel="2">
      <c r="B220" s="101"/>
      <c r="C220" s="101"/>
      <c r="D220" s="106" t="s">
        <v>36</v>
      </c>
      <c r="E220" s="209"/>
      <c r="F220" s="115">
        <f>+F14-F75</f>
        <v>7168017.0099999998</v>
      </c>
      <c r="G220" s="116">
        <f t="shared" ref="G220:H220" si="94">+G14-G75</f>
        <v>6936103</v>
      </c>
      <c r="H220" s="116">
        <f t="shared" si="94"/>
        <v>7124924</v>
      </c>
    </row>
    <row r="221" spans="2:8" outlineLevel="2">
      <c r="B221" s="101"/>
      <c r="C221" s="101"/>
      <c r="D221" s="106" t="s">
        <v>35</v>
      </c>
      <c r="E221" s="209"/>
      <c r="F221" s="115">
        <f>+F60</f>
        <v>3281005.32</v>
      </c>
      <c r="G221" s="116">
        <f t="shared" ref="G221:H221" si="95">+G60</f>
        <v>3316000</v>
      </c>
      <c r="H221" s="116">
        <f t="shared" si="95"/>
        <v>3382000</v>
      </c>
    </row>
    <row r="222" spans="2:8" ht="36" outlineLevel="2">
      <c r="B222" s="101"/>
      <c r="C222" s="101"/>
      <c r="D222" s="107" t="s">
        <v>380</v>
      </c>
      <c r="E222" s="213"/>
      <c r="F222" s="117">
        <f>+F14-F15-F18-F60-F61</f>
        <v>2668731.69</v>
      </c>
      <c r="G222" s="118">
        <f t="shared" ref="G222:H222" si="96">+G14-G15-G18-G60-G61</f>
        <v>2253009</v>
      </c>
      <c r="H222" s="118">
        <f t="shared" si="96"/>
        <v>2322775</v>
      </c>
    </row>
    <row r="223" spans="2:8" outlineLevel="2">
      <c r="D223" s="23"/>
      <c r="E223" s="23"/>
      <c r="F223" s="24"/>
      <c r="G223" s="24"/>
      <c r="H223" s="24"/>
    </row>
    <row r="224" spans="2:8" outlineLevel="1">
      <c r="D224" s="143" t="s">
        <v>421</v>
      </c>
      <c r="E224" s="143"/>
    </row>
    <row r="225" spans="2:8" outlineLevel="2">
      <c r="B225" s="131"/>
      <c r="C225" s="131"/>
      <c r="D225" s="7" t="s">
        <v>24</v>
      </c>
      <c r="E225" s="214"/>
      <c r="F225" s="56" t="e">
        <f>+IF(#REF!&lt;&gt;0,F2/#REF!,"-")</f>
        <v>#REF!</v>
      </c>
      <c r="G225" s="57">
        <f t="shared" ref="G225:H225" si="97">+IF(F2&lt;&gt;0,G2/F2,"-")</f>
        <v>0.87880345204251109</v>
      </c>
      <c r="H225" s="57">
        <f t="shared" si="97"/>
        <v>1.0041923919863005</v>
      </c>
    </row>
    <row r="226" spans="2:8" outlineLevel="2">
      <c r="D226" s="8" t="s">
        <v>221</v>
      </c>
      <c r="E226" s="215"/>
      <c r="F226" s="58" t="e">
        <f>+IF(#REF!&lt;&gt;0,F3/#REF!,"-")</f>
        <v>#REF!</v>
      </c>
      <c r="G226" s="59">
        <f t="shared" ref="G226:H226" si="98">+IF(F3&lt;&gt;0,G3/F3,"-")</f>
        <v>1.0369781066049433</v>
      </c>
      <c r="H226" s="59">
        <f t="shared" si="98"/>
        <v>1.0041923919863005</v>
      </c>
    </row>
    <row r="227" spans="2:8" ht="24" outlineLevel="2">
      <c r="D227" s="9" t="s">
        <v>388</v>
      </c>
      <c r="E227" s="216"/>
      <c r="F227" s="58" t="e">
        <f>+IF((#REF!)&lt;&gt;0,(F69)/(#REF!),"-")</f>
        <v>#REF!</v>
      </c>
      <c r="G227" s="59">
        <f t="shared" ref="G227:H227" si="99">+IF((F69)&lt;&gt;0,(G69)/(F69),"-")</f>
        <v>0</v>
      </c>
      <c r="H227" s="59" t="str">
        <f t="shared" si="99"/>
        <v>-</v>
      </c>
    </row>
    <row r="228" spans="2:8" outlineLevel="2">
      <c r="D228" s="8" t="s">
        <v>27</v>
      </c>
      <c r="E228" s="215"/>
      <c r="F228" s="58" t="e">
        <f>+IF(#REF!&lt;&gt;0,F10/#REF!,"-")</f>
        <v>#REF!</v>
      </c>
      <c r="G228" s="59">
        <f t="shared" ref="G228:H228" si="100">+IF(F10&lt;&gt;0,G10/F10,"-")</f>
        <v>0</v>
      </c>
      <c r="H228" s="59" t="str">
        <f t="shared" si="100"/>
        <v>-</v>
      </c>
    </row>
    <row r="229" spans="2:8" outlineLevel="2">
      <c r="D229" s="10" t="s">
        <v>28</v>
      </c>
      <c r="E229" s="217"/>
      <c r="F229" s="58" t="e">
        <f>+IF(#REF!&lt;&gt;0,F11/#REF!,"-")</f>
        <v>#REF!</v>
      </c>
      <c r="G229" s="59">
        <f t="shared" ref="G229:H229" si="101">+IF(F11&lt;&gt;0,G11/F11,"-")</f>
        <v>0</v>
      </c>
      <c r="H229" s="59" t="str">
        <f t="shared" si="101"/>
        <v>-</v>
      </c>
    </row>
    <row r="230" spans="2:8" ht="24" outlineLevel="2">
      <c r="D230" s="13" t="s">
        <v>388</v>
      </c>
      <c r="E230" s="218"/>
      <c r="F230" s="60" t="e">
        <f>+IF((#REF!)&lt;&gt;0,(F72)/(#REF!),"-")</f>
        <v>#REF!</v>
      </c>
      <c r="G230" s="61">
        <f t="shared" ref="G230:H230" si="102">+IF((F72)&lt;&gt;0,(G72)/(F72),"-")</f>
        <v>0</v>
      </c>
      <c r="H230" s="61" t="str">
        <f t="shared" si="102"/>
        <v>-</v>
      </c>
    </row>
    <row r="231" spans="2:8" outlineLevel="2">
      <c r="B231" s="131"/>
      <c r="C231" s="131"/>
      <c r="D231" s="7" t="s">
        <v>19</v>
      </c>
      <c r="E231" s="214"/>
      <c r="F231" s="56" t="e">
        <f>+IF(#REF!&lt;&gt;0,F13/#REF!,"-")</f>
        <v>#REF!</v>
      </c>
      <c r="G231" s="57">
        <f t="shared" ref="G231:H231" si="103">+IF(F13&lt;&gt;0,G13/F13,"-")</f>
        <v>0.69175114893902401</v>
      </c>
      <c r="H231" s="57">
        <f t="shared" si="103"/>
        <v>0.94781798584212462</v>
      </c>
    </row>
    <row r="232" spans="2:8" outlineLevel="2">
      <c r="D232" s="8" t="s">
        <v>217</v>
      </c>
      <c r="E232" s="215"/>
      <c r="F232" s="58" t="e">
        <f>+IF(#REF!&lt;&gt;0,F14/#REF!,"-")</f>
        <v>#REF!</v>
      </c>
      <c r="G232" s="59">
        <f t="shared" ref="G232:H232" si="104">+IF(F14&lt;&gt;0,G14/F14,"-")</f>
        <v>0.96631139512157727</v>
      </c>
      <c r="H232" s="59">
        <f t="shared" si="104"/>
        <v>1.0272229233043397</v>
      </c>
    </row>
    <row r="233" spans="2:8" outlineLevel="2">
      <c r="D233" s="9" t="s">
        <v>386</v>
      </c>
      <c r="E233" s="216"/>
      <c r="F233" s="58" t="e">
        <f>+IF((#REF!-#REF!)&lt;&gt;0,(F14-F18)/(#REF!-#REF!),"-")</f>
        <v>#REF!</v>
      </c>
      <c r="G233" s="59">
        <f t="shared" ref="G233:H233" si="105">+IF((F14-F18)&lt;&gt;0,(G14-G18)/(F14-F18),"-")</f>
        <v>0.95258477748102333</v>
      </c>
      <c r="H233" s="59">
        <f t="shared" si="105"/>
        <v>1.0270972170393675</v>
      </c>
    </row>
    <row r="234" spans="2:8" ht="24" outlineLevel="2">
      <c r="D234" s="9" t="s">
        <v>388</v>
      </c>
      <c r="E234" s="216"/>
      <c r="F234" s="58" t="e">
        <f>+IF(#REF!&lt;&gt;0,F75/#REF!,"-")</f>
        <v>#REF!</v>
      </c>
      <c r="G234" s="59">
        <f t="shared" ref="G234:H234" si="106">+IF(F75&lt;&gt;0,G75/F75,"-")</f>
        <v>0</v>
      </c>
      <c r="H234" s="59" t="str">
        <f t="shared" si="106"/>
        <v>-</v>
      </c>
    </row>
    <row r="235" spans="2:8" outlineLevel="2">
      <c r="D235" s="9" t="s">
        <v>218</v>
      </c>
      <c r="E235" s="216"/>
      <c r="F235" s="58" t="e">
        <f>+IF(#REF!&lt;&gt;0,F15/#REF!,"-")</f>
        <v>#REF!</v>
      </c>
      <c r="G235" s="59" t="str">
        <f t="shared" ref="G235:H235" si="107">+IF(F15&lt;&gt;0,G15/F15,"-")</f>
        <v>-</v>
      </c>
      <c r="H235" s="59" t="str">
        <f t="shared" si="107"/>
        <v>-</v>
      </c>
    </row>
    <row r="236" spans="2:8" ht="24" outlineLevel="2">
      <c r="D236" s="11" t="s">
        <v>387</v>
      </c>
      <c r="E236" s="219"/>
      <c r="F236" s="58" t="e">
        <f>+IF(#REF!&lt;&gt;0,F16/#REF!,"-")</f>
        <v>#REF!</v>
      </c>
      <c r="G236" s="59" t="str">
        <f t="shared" ref="G236:H236" si="108">+IF(F16&lt;&gt;0,G16/F16,"-")</f>
        <v>-</v>
      </c>
      <c r="H236" s="59" t="str">
        <f t="shared" si="108"/>
        <v>-</v>
      </c>
    </row>
    <row r="237" spans="2:8" outlineLevel="2">
      <c r="D237" s="9" t="s">
        <v>389</v>
      </c>
      <c r="E237" s="216"/>
      <c r="F237" s="58" t="e">
        <f>+IF(#REF!&lt;&gt;0,F18/#REF!,"-")</f>
        <v>#REF!</v>
      </c>
      <c r="G237" s="59">
        <f t="shared" ref="G237:H237" si="109">+IF(F18&lt;&gt;0,G18/F18,"-")</f>
        <v>1.93787</v>
      </c>
      <c r="H237" s="59">
        <f t="shared" si="109"/>
        <v>1.0315965467239805</v>
      </c>
    </row>
    <row r="238" spans="2:8" outlineLevel="2">
      <c r="D238" s="11" t="s">
        <v>390</v>
      </c>
      <c r="E238" s="219"/>
      <c r="F238" s="58" t="e">
        <f>+IF(#REF!&lt;&gt;0,F19/#REF!,"-")</f>
        <v>#REF!</v>
      </c>
      <c r="G238" s="59">
        <f t="shared" ref="G238:H238" si="110">+IF(F19&lt;&gt;0,G19/F19,"-")</f>
        <v>1.93787</v>
      </c>
      <c r="H238" s="59">
        <f t="shared" si="110"/>
        <v>1.0315965467239805</v>
      </c>
    </row>
    <row r="239" spans="2:8" outlineLevel="2">
      <c r="D239" s="8" t="s">
        <v>391</v>
      </c>
      <c r="E239" s="215"/>
      <c r="F239" s="58" t="e">
        <f>+IF(#REF!&lt;&gt;0,F20/#REF!,"-")</f>
        <v>#REF!</v>
      </c>
      <c r="G239" s="59">
        <f t="shared" ref="G239:H239" si="111">+IF(F20&lt;&gt;0,G20/F20,"-")</f>
        <v>0.18557600239992439</v>
      </c>
      <c r="H239" s="59">
        <f t="shared" si="111"/>
        <v>0.18555302740916665</v>
      </c>
    </row>
    <row r="240" spans="2:8" ht="24" outlineLevel="2">
      <c r="D240" s="13" t="s">
        <v>388</v>
      </c>
      <c r="E240" s="218"/>
      <c r="F240" s="60" t="e">
        <f>+IF(#REF!&lt;&gt;0,F78/#REF!,"-")</f>
        <v>#REF!</v>
      </c>
      <c r="G240" s="61">
        <f t="shared" ref="G240:H240" si="112">+IF(F78&lt;&gt;0,G78/F78,"-")</f>
        <v>0</v>
      </c>
      <c r="H240" s="61" t="str">
        <f t="shared" si="112"/>
        <v>-</v>
      </c>
    </row>
    <row r="241" spans="4:8" outlineLevel="2">
      <c r="D241" s="32" t="s">
        <v>392</v>
      </c>
      <c r="E241" s="35"/>
      <c r="F241" s="138"/>
      <c r="G241" s="139"/>
      <c r="H241" s="139"/>
    </row>
    <row r="242" spans="4:8" outlineLevel="2">
      <c r="D242" s="31" t="s">
        <v>2</v>
      </c>
      <c r="E242" s="220"/>
      <c r="F242" s="62" t="e">
        <f>+IF(#REF!&lt;&gt;0,F60/#REF!,"-")</f>
        <v>#REF!</v>
      </c>
      <c r="G242" s="63">
        <f t="shared" ref="G242:H242" si="113">+IF(F60&lt;&gt;0,G60/F60,"-")</f>
        <v>1.0106658406759303</v>
      </c>
      <c r="H242" s="63">
        <f t="shared" si="113"/>
        <v>1.019903498190591</v>
      </c>
    </row>
    <row r="243" spans="4:8" outlineLevel="2">
      <c r="D243" s="8" t="s">
        <v>3</v>
      </c>
      <c r="E243" s="215"/>
      <c r="F243" s="58" t="e">
        <f>+IF(#REF!&lt;&gt;0,F61/#REF!,"-")</f>
        <v>#REF!</v>
      </c>
      <c r="G243" s="59">
        <f t="shared" ref="G243:H243" si="114">+IF(F61&lt;&gt;0,G61/F61,"-")</f>
        <v>1.0399998227233243</v>
      </c>
      <c r="H243" s="59">
        <f t="shared" si="114"/>
        <v>1.0399997613582805</v>
      </c>
    </row>
    <row r="244" spans="4:8" outlineLevel="2">
      <c r="D244" s="8" t="s">
        <v>393</v>
      </c>
      <c r="E244" s="215"/>
      <c r="F244" s="58" t="e">
        <f>+IF(#REF!&lt;&gt;0,F63/#REF!,"-")</f>
        <v>#REF!</v>
      </c>
      <c r="G244" s="59">
        <f t="shared" ref="G244:H244" si="115">+IF(F63&lt;&gt;0,G63/F63,"-")</f>
        <v>0</v>
      </c>
      <c r="H244" s="59" t="str">
        <f t="shared" si="115"/>
        <v>-</v>
      </c>
    </row>
    <row r="245" spans="4:8" outlineLevel="2">
      <c r="D245" s="12" t="s">
        <v>394</v>
      </c>
      <c r="E245" s="221"/>
      <c r="F245" s="60" t="e">
        <f>+IF(#REF!&lt;&gt;0,F64/#REF!,"-")</f>
        <v>#REF!</v>
      </c>
      <c r="G245" s="61">
        <f t="shared" ref="G245:H245" si="116">+IF(F64&lt;&gt;0,G64/F64,"-")</f>
        <v>6.5822499416487322E-3</v>
      </c>
      <c r="H245" s="61">
        <f t="shared" si="116"/>
        <v>0</v>
      </c>
    </row>
  </sheetData>
  <sheetProtection formatCells="0" formatColumns="0" formatRows="0" insertColumns="0" deleteColumns="0"/>
  <autoFilter ref="A1:A96"/>
  <conditionalFormatting sqref="F225:H240 F242:H245">
    <cfRule type="cellIs" priority="6" stopIfTrue="1" operator="equal">
      <formula>"-"</formula>
    </cfRule>
    <cfRule type="cellIs" dxfId="18" priority="81" stopIfTrue="1" operator="between">
      <formula>0.00000001</formula>
      <formula>1</formula>
    </cfRule>
    <cfRule type="cellIs" dxfId="17" priority="82" stopIfTrue="1" operator="greaterThan">
      <formula>1</formula>
    </cfRule>
  </conditionalFormatting>
  <conditionalFormatting sqref="F55:H56">
    <cfRule type="expression" dxfId="16" priority="30" stopIfTrue="1">
      <formula>LEFT(F55,3)="Nie"</formula>
    </cfRule>
  </conditionalFormatting>
  <conditionalFormatting sqref="F185:H196">
    <cfRule type="cellIs" dxfId="15" priority="7" stopIfTrue="1" operator="notBetween">
      <formula>-$D$184</formula>
      <formula>$D$184</formula>
    </cfRule>
    <cfRule type="cellIs" dxfId="14" priority="91" stopIfTrue="1" operator="notBetween">
      <formula>-$D$183</formula>
      <formula>$D$183</formula>
    </cfRule>
    <cfRule type="cellIs" dxfId="13" priority="92" stopIfTrue="1" operator="notBetween">
      <formula>-$D$182</formula>
      <formula>$D$182</formula>
    </cfRule>
  </conditionalFormatting>
  <conditionalFormatting sqref="F115:H115">
    <cfRule type="cellIs" dxfId="12" priority="4" stopIfTrue="1" operator="between">
      <formula>0</formula>
      <formula>1000000000000</formula>
    </cfRule>
  </conditionalFormatting>
  <conditionalFormatting sqref="F116:H118">
    <cfRule type="cellIs" dxfId="11" priority="3" stopIfTrue="1" operator="between">
      <formula>-1000000000000</formula>
      <formula>1000000000000</formula>
    </cfRule>
  </conditionalFormatting>
  <conditionalFormatting sqref="F113:H114">
    <cfRule type="cellIs" dxfId="10" priority="2" stopIfTrue="1" operator="between">
      <formula>-1000000000000</formula>
      <formula>1000000000000</formula>
    </cfRule>
  </conditionalFormatting>
  <conditionalFormatting sqref="F119:H163">
    <cfRule type="cellIs" dxfId="9" priority="1" stopIfTrue="1" operator="equal">
      <formula>"BŁĄD"</formula>
    </cfRule>
  </conditionalFormatting>
  <conditionalFormatting sqref="F177:H180">
    <cfRule type="cellIs" dxfId="8" priority="50" stopIfTrue="1" operator="lessThan">
      <formula>$D$174</formula>
    </cfRule>
    <cfRule type="cellIs" dxfId="7" priority="51" stopIfTrue="1" operator="lessThan">
      <formula>$D$175</formula>
    </cfRule>
    <cfRule type="cellIs" dxfId="6" priority="52" stopIfTrue="1" operator="lessThan">
      <formula>$D$176</formula>
    </cfRule>
  </conditionalFormatting>
  <pageMargins left="0.51181102362204722" right="0.51181102362204722" top="0.47244094488188981" bottom="0.47244094488188981" header="0.31496062992125984" footer="0.31496062992125984"/>
  <pageSetup paperSize="9" orientation="portrait" blackAndWhite="1" horizontalDpi="4294967293" verticalDpi="4294967293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0" min="1" max="39" man="1"/>
    <brk id="67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HO100"/>
  <sheetViews>
    <sheetView tabSelected="1" zoomScaleNormal="100" zoomScaleSheetLayoutView="100" workbookViewId="0">
      <pane xSplit="4" ySplit="2" topLeftCell="E15" activePane="bottomRight" state="frozen"/>
      <selection pane="topRight" activeCell="G1" sqref="G1"/>
      <selection pane="bottomLeft" activeCell="A10" sqref="A10"/>
      <selection pane="bottomRight" activeCell="E69" sqref="E69"/>
    </sheetView>
  </sheetViews>
  <sheetFormatPr defaultRowHeight="14.25" outlineLevelRow="3" outlineLevelCol="1"/>
  <cols>
    <col min="1" max="1" width="4.375" style="67" hidden="1" customWidth="1" outlineLevel="1"/>
    <col min="2" max="2" width="3.875" style="66" customWidth="1" collapsed="1"/>
    <col min="3" max="3" width="47.875" style="66" hidden="1" customWidth="1" outlineLevel="1"/>
    <col min="4" max="4" width="48" style="66" customWidth="1" collapsed="1"/>
    <col min="5" max="5" width="9.625" style="66" customWidth="1"/>
    <col min="6" max="6" width="9.375" style="66" customWidth="1"/>
    <col min="7" max="7" width="9.125" style="66" customWidth="1"/>
    <col min="8" max="8" width="4.5" style="66" customWidth="1"/>
    <col min="9" max="16384" width="9" style="67"/>
  </cols>
  <sheetData>
    <row r="1" spans="1:223" s="69" customFormat="1" ht="29.25" customHeight="1">
      <c r="B1" s="252" t="s">
        <v>476</v>
      </c>
      <c r="C1" s="252"/>
      <c r="D1" s="252"/>
      <c r="E1" s="252"/>
      <c r="F1" s="252"/>
      <c r="G1" s="252"/>
      <c r="H1" s="252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</row>
    <row r="2" spans="1:223" s="71" customFormat="1" ht="48">
      <c r="A2" s="190" t="s">
        <v>447</v>
      </c>
      <c r="B2" s="226" t="s">
        <v>0</v>
      </c>
      <c r="C2" s="227" t="s">
        <v>396</v>
      </c>
      <c r="D2" s="228" t="s">
        <v>1</v>
      </c>
      <c r="E2" s="233" t="s">
        <v>472</v>
      </c>
      <c r="F2" s="229" t="s">
        <v>473</v>
      </c>
      <c r="G2" s="230" t="s">
        <v>474</v>
      </c>
      <c r="H2" s="230" t="s">
        <v>475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</row>
    <row r="3" spans="1:223" s="72" customFormat="1" ht="15" outlineLevel="1">
      <c r="A3" s="186" t="s">
        <v>29</v>
      </c>
      <c r="B3" s="37">
        <v>1</v>
      </c>
      <c r="C3" s="119" t="s">
        <v>397</v>
      </c>
      <c r="D3" s="225" t="s">
        <v>24</v>
      </c>
      <c r="E3" s="234">
        <f>+E4+E11</f>
        <v>8554553</v>
      </c>
      <c r="F3" s="64">
        <f>+F4+F11</f>
        <v>8714844.0099999998</v>
      </c>
      <c r="G3" s="65">
        <f t="shared" ref="G3" si="0">+G4+G11</f>
        <v>4564044.7200000007</v>
      </c>
      <c r="H3" s="65">
        <f>SUM(G3/F3*100)</f>
        <v>52.370928438454065</v>
      </c>
    </row>
    <row r="4" spans="1:223" outlineLevel="2">
      <c r="A4" s="186" t="s">
        <v>29</v>
      </c>
      <c r="B4" s="38" t="s">
        <v>159</v>
      </c>
      <c r="C4" s="120"/>
      <c r="D4" s="174" t="s">
        <v>221</v>
      </c>
      <c r="E4" s="235">
        <v>7225853</v>
      </c>
      <c r="F4" s="146">
        <f>+Zał.1_WPF_bazowy!F3</f>
        <v>7385532.0099999998</v>
      </c>
      <c r="G4" s="147">
        <v>3928832.72</v>
      </c>
      <c r="H4" s="65">
        <f t="shared" ref="H4:H67" si="1">SUM(G4/F4*100)</f>
        <v>53.196340015592192</v>
      </c>
    </row>
    <row r="5" spans="1:223" ht="16.5" customHeight="1" outlineLevel="2">
      <c r="A5" s="186"/>
      <c r="B5" s="38" t="s">
        <v>39</v>
      </c>
      <c r="C5" s="120"/>
      <c r="D5" s="249" t="s">
        <v>210</v>
      </c>
      <c r="E5" s="235">
        <v>792391</v>
      </c>
      <c r="F5" s="146">
        <f>+Zał.1_WPF_bazowy!F4</f>
        <v>792391</v>
      </c>
      <c r="G5" s="147">
        <v>330592</v>
      </c>
      <c r="H5" s="65">
        <f t="shared" si="1"/>
        <v>41.720817121850196</v>
      </c>
    </row>
    <row r="6" spans="1:223" ht="17.25" customHeight="1" outlineLevel="2">
      <c r="A6" s="186"/>
      <c r="B6" s="38" t="s">
        <v>41</v>
      </c>
      <c r="C6" s="120"/>
      <c r="D6" s="249" t="s">
        <v>211</v>
      </c>
      <c r="E6" s="235">
        <v>6000</v>
      </c>
      <c r="F6" s="146">
        <f>+Zał.1_WPF_bazowy!F5</f>
        <v>6000</v>
      </c>
      <c r="G6" s="147">
        <v>3546.38</v>
      </c>
      <c r="H6" s="65">
        <f t="shared" si="1"/>
        <v>59.106333333333339</v>
      </c>
    </row>
    <row r="7" spans="1:223" ht="12.75" customHeight="1" outlineLevel="2">
      <c r="A7" s="186"/>
      <c r="B7" s="38" t="s">
        <v>43</v>
      </c>
      <c r="C7" s="120"/>
      <c r="D7" s="175" t="s">
        <v>215</v>
      </c>
      <c r="E7" s="235">
        <v>2154271</v>
      </c>
      <c r="F7" s="146">
        <f>+Zał.1_WPF_bazowy!F6</f>
        <v>2179747</v>
      </c>
      <c r="G7" s="147">
        <v>1432231.93</v>
      </c>
      <c r="H7" s="65">
        <f t="shared" si="1"/>
        <v>65.706337937384475</v>
      </c>
    </row>
    <row r="8" spans="1:223" ht="11.25" customHeight="1" outlineLevel="2">
      <c r="A8" s="186"/>
      <c r="B8" s="38" t="s">
        <v>45</v>
      </c>
      <c r="C8" s="120"/>
      <c r="D8" s="176" t="s">
        <v>212</v>
      </c>
      <c r="E8" s="235">
        <v>1021537</v>
      </c>
      <c r="F8" s="146">
        <f>+Zał.1_WPF_bazowy!F7</f>
        <v>1057013</v>
      </c>
      <c r="G8" s="147">
        <v>581267.9</v>
      </c>
      <c r="H8" s="65">
        <f t="shared" si="1"/>
        <v>54.991556395238284</v>
      </c>
    </row>
    <row r="9" spans="1:223" s="69" customFormat="1" ht="15" outlineLevel="2" thickBot="1">
      <c r="A9" s="186"/>
      <c r="B9" s="38" t="s">
        <v>47</v>
      </c>
      <c r="C9" s="120"/>
      <c r="D9" s="175" t="s">
        <v>213</v>
      </c>
      <c r="E9" s="235">
        <v>2898616</v>
      </c>
      <c r="F9" s="146">
        <f>+Zał.1_WPF_bazowy!F8</f>
        <v>2873140</v>
      </c>
      <c r="G9" s="147">
        <v>1645588</v>
      </c>
      <c r="H9" s="65">
        <f t="shared" si="1"/>
        <v>57.2748978469549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</row>
    <row r="10" spans="1:223" s="75" customFormat="1" outlineLevel="2">
      <c r="A10" s="186"/>
      <c r="B10" s="38" t="s">
        <v>49</v>
      </c>
      <c r="C10" s="120"/>
      <c r="D10" s="175" t="s">
        <v>214</v>
      </c>
      <c r="E10" s="235">
        <v>1027255</v>
      </c>
      <c r="F10" s="146">
        <f>+Zał.1_WPF_bazowy!F9</f>
        <v>1194354.01</v>
      </c>
      <c r="G10" s="147">
        <v>662990.01</v>
      </c>
      <c r="H10" s="65">
        <f t="shared" si="1"/>
        <v>55.510343202180067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</row>
    <row r="11" spans="1:223" outlineLevel="2">
      <c r="A11" s="186" t="s">
        <v>29</v>
      </c>
      <c r="B11" s="38" t="s">
        <v>160</v>
      </c>
      <c r="C11" s="120"/>
      <c r="D11" s="174" t="s">
        <v>27</v>
      </c>
      <c r="E11" s="235">
        <f>+Zał.1_WPF_bazowy!E10+SUM(E12:E13)</f>
        <v>1328700</v>
      </c>
      <c r="F11" s="146">
        <f>+Zał.1_WPF_bazowy!F10</f>
        <v>1329312</v>
      </c>
      <c r="G11" s="147">
        <v>635212</v>
      </c>
      <c r="H11" s="65">
        <f t="shared" si="1"/>
        <v>47.785019619171422</v>
      </c>
    </row>
    <row r="12" spans="1:223" outlineLevel="2">
      <c r="A12" s="186" t="s">
        <v>29</v>
      </c>
      <c r="B12" s="38" t="s">
        <v>52</v>
      </c>
      <c r="C12" s="120"/>
      <c r="D12" s="175" t="s">
        <v>28</v>
      </c>
      <c r="E12" s="235">
        <v>494200</v>
      </c>
      <c r="F12" s="146">
        <f>+Zał.1_WPF_bazowy!F11</f>
        <v>494200</v>
      </c>
      <c r="G12" s="147">
        <v>350100</v>
      </c>
      <c r="H12" s="65">
        <f t="shared" si="1"/>
        <v>70.841764467826792</v>
      </c>
    </row>
    <row r="13" spans="1:223" outlineLevel="2">
      <c r="A13" s="186"/>
      <c r="B13" s="38" t="s">
        <v>54</v>
      </c>
      <c r="C13" s="120"/>
      <c r="D13" s="175" t="s">
        <v>216</v>
      </c>
      <c r="E13" s="235">
        <v>834500</v>
      </c>
      <c r="F13" s="146">
        <f>+Zał.1_WPF_bazowy!F12</f>
        <v>835112</v>
      </c>
      <c r="G13" s="147">
        <v>285112</v>
      </c>
      <c r="H13" s="65">
        <f t="shared" si="1"/>
        <v>34.140570366609509</v>
      </c>
    </row>
    <row r="14" spans="1:223" s="72" customFormat="1" ht="15" outlineLevel="1">
      <c r="A14" s="186" t="s">
        <v>29</v>
      </c>
      <c r="B14" s="37">
        <v>2</v>
      </c>
      <c r="C14" s="119" t="s">
        <v>398</v>
      </c>
      <c r="D14" s="172" t="s">
        <v>19</v>
      </c>
      <c r="E14" s="234">
        <f>+E15+E21</f>
        <v>11403693</v>
      </c>
      <c r="F14" s="64">
        <f>+F15+F21</f>
        <v>11071373.01</v>
      </c>
      <c r="G14" s="65">
        <f t="shared" ref="G14" si="2">+G15+G21</f>
        <v>3552789.75</v>
      </c>
      <c r="H14" s="65">
        <f t="shared" si="1"/>
        <v>32.089874912452252</v>
      </c>
    </row>
    <row r="15" spans="1:223" outlineLevel="2">
      <c r="A15" s="186" t="s">
        <v>29</v>
      </c>
      <c r="B15" s="38" t="s">
        <v>161</v>
      </c>
      <c r="C15" s="120"/>
      <c r="D15" s="174" t="s">
        <v>217</v>
      </c>
      <c r="E15" s="235">
        <v>6934237</v>
      </c>
      <c r="F15" s="146">
        <f>+Zał.1_WPF_bazowy!F14</f>
        <v>7177917.0099999998</v>
      </c>
      <c r="G15" s="147">
        <v>3482770.93</v>
      </c>
      <c r="H15" s="65">
        <f t="shared" si="1"/>
        <v>48.520635236489035</v>
      </c>
    </row>
    <row r="16" spans="1:223" outlineLevel="2">
      <c r="A16" s="186" t="s">
        <v>29</v>
      </c>
      <c r="B16" s="38" t="s">
        <v>57</v>
      </c>
      <c r="C16" s="120"/>
      <c r="D16" s="175" t="s">
        <v>218</v>
      </c>
      <c r="E16" s="235">
        <f>+Zał.1_WPF_bazowy!E15</f>
        <v>0</v>
      </c>
      <c r="F16" s="146">
        <f>+Zał.1_WPF_bazowy!F15</f>
        <v>0</v>
      </c>
      <c r="G16" s="147">
        <f>+Zał.1_WPF_bazowy!G15</f>
        <v>0</v>
      </c>
      <c r="H16" s="65">
        <v>0</v>
      </c>
    </row>
    <row r="17" spans="1:223" ht="46.5" customHeight="1" outlineLevel="2">
      <c r="A17" s="186" t="s">
        <v>29</v>
      </c>
      <c r="B17" s="38" t="s">
        <v>59</v>
      </c>
      <c r="C17" s="120"/>
      <c r="D17" s="249" t="s">
        <v>428</v>
      </c>
      <c r="E17" s="235">
        <f>+Zał.1_WPF_bazowy!E16</f>
        <v>0</v>
      </c>
      <c r="F17" s="146">
        <f>+Zał.1_WPF_bazowy!F16</f>
        <v>0</v>
      </c>
      <c r="G17" s="147">
        <f>+Zał.1_WPF_bazowy!G16</f>
        <v>0</v>
      </c>
      <c r="H17" s="65">
        <v>0</v>
      </c>
    </row>
    <row r="18" spans="1:223" ht="31.5" customHeight="1" outlineLevel="2">
      <c r="A18" s="186"/>
      <c r="B18" s="38" t="s">
        <v>61</v>
      </c>
      <c r="C18" s="120"/>
      <c r="D18" s="249" t="s">
        <v>429</v>
      </c>
      <c r="E18" s="235">
        <f>+Zał.1_WPF_bazowy!E17</f>
        <v>0</v>
      </c>
      <c r="F18" s="146">
        <f>+Zał.1_WPF_bazowy!F17</f>
        <v>0</v>
      </c>
      <c r="G18" s="147">
        <f>+Zał.1_WPF_bazowy!G17</f>
        <v>0</v>
      </c>
      <c r="H18" s="65">
        <v>0</v>
      </c>
    </row>
    <row r="19" spans="1:223" outlineLevel="2">
      <c r="A19" s="186" t="s">
        <v>29</v>
      </c>
      <c r="B19" s="38" t="s">
        <v>63</v>
      </c>
      <c r="C19" s="120"/>
      <c r="D19" s="175" t="s">
        <v>219</v>
      </c>
      <c r="E19" s="235">
        <v>100000</v>
      </c>
      <c r="F19" s="146">
        <f>+Zał.1_WPF_bazowy!F18</f>
        <v>100000</v>
      </c>
      <c r="G19" s="147">
        <v>30769.62</v>
      </c>
      <c r="H19" s="65">
        <f t="shared" si="1"/>
        <v>30.769619999999996</v>
      </c>
    </row>
    <row r="20" spans="1:223" s="76" customFormat="1" ht="24" outlineLevel="2">
      <c r="A20" s="186" t="s">
        <v>29</v>
      </c>
      <c r="B20" s="38" t="s">
        <v>65</v>
      </c>
      <c r="C20" s="120"/>
      <c r="D20" s="176" t="s">
        <v>220</v>
      </c>
      <c r="E20" s="235">
        <v>100000</v>
      </c>
      <c r="F20" s="146">
        <f>+Zał.1_WPF_bazowy!F19</f>
        <v>100000</v>
      </c>
      <c r="G20" s="147">
        <v>30769.62</v>
      </c>
      <c r="H20" s="65">
        <f t="shared" si="1"/>
        <v>30.769619999999996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</row>
    <row r="21" spans="1:223" s="76" customFormat="1" outlineLevel="2">
      <c r="A21" s="186" t="s">
        <v>29</v>
      </c>
      <c r="B21" s="38" t="s">
        <v>162</v>
      </c>
      <c r="C21" s="120"/>
      <c r="D21" s="174" t="s">
        <v>20</v>
      </c>
      <c r="E21" s="235">
        <v>4469456</v>
      </c>
      <c r="F21" s="146">
        <f>+Zał.1_WPF_bazowy!F20</f>
        <v>3893456</v>
      </c>
      <c r="G21" s="147">
        <v>70018.820000000007</v>
      </c>
      <c r="H21" s="65">
        <f t="shared" si="1"/>
        <v>1.7983719348568472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</row>
    <row r="22" spans="1:223" s="72" customFormat="1" ht="15" outlineLevel="1">
      <c r="A22" s="186" t="s">
        <v>29</v>
      </c>
      <c r="B22" s="37">
        <v>3</v>
      </c>
      <c r="C22" s="119" t="s">
        <v>399</v>
      </c>
      <c r="D22" s="172" t="s">
        <v>21</v>
      </c>
      <c r="E22" s="234">
        <f>+E3-E14</f>
        <v>-2849140</v>
      </c>
      <c r="F22" s="64">
        <f>+F3-F14</f>
        <v>-2356529</v>
      </c>
      <c r="G22" s="65">
        <f t="shared" ref="G22" si="3">+G3-G14</f>
        <v>1011254.9700000007</v>
      </c>
      <c r="H22" s="65">
        <v>0</v>
      </c>
    </row>
    <row r="23" spans="1:223" s="72" customFormat="1" ht="15" outlineLevel="1">
      <c r="A23" s="186" t="s">
        <v>29</v>
      </c>
      <c r="B23" s="37">
        <v>4</v>
      </c>
      <c r="C23" s="119" t="s">
        <v>400</v>
      </c>
      <c r="D23" s="172" t="s">
        <v>22</v>
      </c>
      <c r="E23" s="234">
        <f>+E24+E26+E28+E30</f>
        <v>3186091</v>
      </c>
      <c r="F23" s="64">
        <f>+F24+F26+F28+F30</f>
        <v>2693480</v>
      </c>
      <c r="G23" s="65">
        <f t="shared" ref="G23" si="4">+G24+G26+G28+G30</f>
        <v>411991.78</v>
      </c>
      <c r="H23" s="65">
        <f t="shared" si="1"/>
        <v>15.295891560360575</v>
      </c>
    </row>
    <row r="24" spans="1:223" outlineLevel="2">
      <c r="A24" s="186" t="s">
        <v>29</v>
      </c>
      <c r="B24" s="38" t="s">
        <v>163</v>
      </c>
      <c r="C24" s="120"/>
      <c r="D24" s="174" t="s">
        <v>222</v>
      </c>
      <c r="E24" s="235">
        <f>+Zał.1_WPF_bazowy!E23</f>
        <v>0</v>
      </c>
      <c r="F24" s="146">
        <f>+Zał.1_WPF_bazowy!F23</f>
        <v>0</v>
      </c>
      <c r="G24" s="147">
        <f>+Zał.1_WPF_bazowy!G23</f>
        <v>0</v>
      </c>
      <c r="H24" s="65">
        <v>0</v>
      </c>
    </row>
    <row r="25" spans="1:223" outlineLevel="2">
      <c r="A25" s="186" t="s">
        <v>29</v>
      </c>
      <c r="B25" s="38" t="s">
        <v>69</v>
      </c>
      <c r="C25" s="120"/>
      <c r="D25" s="175" t="s">
        <v>223</v>
      </c>
      <c r="E25" s="235">
        <f>+Zał.1_WPF_bazowy!E24</f>
        <v>0</v>
      </c>
      <c r="F25" s="146">
        <f>+Zał.1_WPF_bazowy!F24</f>
        <v>0</v>
      </c>
      <c r="G25" s="147">
        <f>+Zał.1_WPF_bazowy!G24</f>
        <v>0</v>
      </c>
      <c r="H25" s="65">
        <v>0</v>
      </c>
    </row>
    <row r="26" spans="1:223" outlineLevel="2">
      <c r="A26" s="186" t="s">
        <v>29</v>
      </c>
      <c r="B26" s="38" t="s">
        <v>164</v>
      </c>
      <c r="C26" s="120"/>
      <c r="D26" s="174" t="s">
        <v>224</v>
      </c>
      <c r="E26" s="235">
        <f>+Zał.1_WPF_bazowy!E25</f>
        <v>0</v>
      </c>
      <c r="F26" s="146">
        <f>+Zał.1_WPF_bazowy!F25</f>
        <v>411991</v>
      </c>
      <c r="G26" s="146">
        <v>411991.78</v>
      </c>
      <c r="H26" s="65">
        <f t="shared" si="1"/>
        <v>100.00018932452409</v>
      </c>
    </row>
    <row r="27" spans="1:223" outlineLevel="2">
      <c r="A27" s="186" t="s">
        <v>29</v>
      </c>
      <c r="B27" s="38" t="s">
        <v>72</v>
      </c>
      <c r="C27" s="120"/>
      <c r="D27" s="175" t="s">
        <v>223</v>
      </c>
      <c r="E27" s="235">
        <f>+Zał.1_WPF_bazowy!E26</f>
        <v>0</v>
      </c>
      <c r="F27" s="146">
        <f>+Zał.1_WPF_bazowy!F26</f>
        <v>75040</v>
      </c>
      <c r="G27" s="146">
        <f>+Zał.1_WPF_bazowy!G26</f>
        <v>0</v>
      </c>
      <c r="H27" s="65">
        <f t="shared" si="1"/>
        <v>0</v>
      </c>
    </row>
    <row r="28" spans="1:223" outlineLevel="2">
      <c r="A28" s="186" t="s">
        <v>29</v>
      </c>
      <c r="B28" s="38" t="s">
        <v>165</v>
      </c>
      <c r="C28" s="120"/>
      <c r="D28" s="174" t="s">
        <v>225</v>
      </c>
      <c r="E28" s="235">
        <v>3186091</v>
      </c>
      <c r="F28" s="146">
        <f>+Zał.1_WPF_bazowy!F27</f>
        <v>2281489</v>
      </c>
      <c r="G28" s="147">
        <v>0</v>
      </c>
      <c r="H28" s="65">
        <f t="shared" si="1"/>
        <v>0</v>
      </c>
    </row>
    <row r="29" spans="1:223" outlineLevel="2">
      <c r="A29" s="186" t="s">
        <v>29</v>
      </c>
      <c r="B29" s="38" t="s">
        <v>75</v>
      </c>
      <c r="C29" s="120"/>
      <c r="D29" s="175" t="s">
        <v>223</v>
      </c>
      <c r="E29" s="235">
        <v>2849140</v>
      </c>
      <c r="F29" s="146">
        <f>+Zał.1_WPF_bazowy!F28</f>
        <v>2281489</v>
      </c>
      <c r="G29" s="147">
        <f>+Zał.1_WPF_bazowy!G28</f>
        <v>0</v>
      </c>
      <c r="H29" s="65">
        <f t="shared" si="1"/>
        <v>0</v>
      </c>
    </row>
    <row r="30" spans="1:223" outlineLevel="2">
      <c r="A30" s="186" t="s">
        <v>29</v>
      </c>
      <c r="B30" s="38" t="s">
        <v>166</v>
      </c>
      <c r="C30" s="120"/>
      <c r="D30" s="174" t="s">
        <v>226</v>
      </c>
      <c r="E30" s="235">
        <f>+Zał.1_WPF_bazowy!E29</f>
        <v>0</v>
      </c>
      <c r="F30" s="146">
        <f>+Zał.1_WPF_bazowy!F29</f>
        <v>0</v>
      </c>
      <c r="G30" s="147">
        <f>+Zał.1_WPF_bazowy!G29</f>
        <v>0</v>
      </c>
      <c r="H30" s="65">
        <v>0</v>
      </c>
    </row>
    <row r="31" spans="1:223" outlineLevel="2">
      <c r="A31" s="186" t="s">
        <v>29</v>
      </c>
      <c r="B31" s="38" t="s">
        <v>77</v>
      </c>
      <c r="C31" s="120"/>
      <c r="D31" s="175" t="s">
        <v>223</v>
      </c>
      <c r="E31" s="235">
        <f>+Zał.1_WPF_bazowy!E30</f>
        <v>0</v>
      </c>
      <c r="F31" s="146">
        <f>+Zał.1_WPF_bazowy!F30</f>
        <v>0</v>
      </c>
      <c r="G31" s="147">
        <f>+Zał.1_WPF_bazowy!G30</f>
        <v>0</v>
      </c>
      <c r="H31" s="65">
        <v>0</v>
      </c>
    </row>
    <row r="32" spans="1:223" s="72" customFormat="1" ht="15.75" outlineLevel="1" thickBot="1">
      <c r="A32" s="186" t="s">
        <v>29</v>
      </c>
      <c r="B32" s="37">
        <v>5</v>
      </c>
      <c r="C32" s="119" t="s">
        <v>412</v>
      </c>
      <c r="D32" s="172" t="s">
        <v>78</v>
      </c>
      <c r="E32" s="234">
        <f>+E33+E36</f>
        <v>336951</v>
      </c>
      <c r="F32" s="64">
        <f>+F33+F36</f>
        <v>336951</v>
      </c>
      <c r="G32" s="65">
        <f t="shared" ref="G32" si="5">+G33+G36</f>
        <v>168475.14</v>
      </c>
      <c r="H32" s="65">
        <f t="shared" si="1"/>
        <v>49.999893159539525</v>
      </c>
    </row>
    <row r="33" spans="1:223" s="75" customFormat="1" ht="24" outlineLevel="2">
      <c r="A33" s="186" t="s">
        <v>29</v>
      </c>
      <c r="B33" s="38" t="s">
        <v>167</v>
      </c>
      <c r="C33" s="120"/>
      <c r="D33" s="174" t="s">
        <v>227</v>
      </c>
      <c r="E33" s="235">
        <v>336951</v>
      </c>
      <c r="F33" s="146">
        <f>+Zał.1_WPF_bazowy!F32</f>
        <v>336951</v>
      </c>
      <c r="G33" s="147">
        <v>168475.14</v>
      </c>
      <c r="H33" s="65">
        <f t="shared" si="1"/>
        <v>49.999893159539525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</row>
    <row r="34" spans="1:223" s="69" customFormat="1" ht="56.25" customHeight="1" outlineLevel="2">
      <c r="A34" s="186" t="s">
        <v>29</v>
      </c>
      <c r="B34" s="38" t="s">
        <v>80</v>
      </c>
      <c r="C34" s="120"/>
      <c r="D34" s="249" t="s">
        <v>430</v>
      </c>
      <c r="E34" s="235">
        <f>+Zał.1_WPF_bazowy!E33</f>
        <v>0</v>
      </c>
      <c r="F34" s="146">
        <f>+Zał.1_WPF_bazowy!F33</f>
        <v>0</v>
      </c>
      <c r="G34" s="147">
        <f>+Zał.1_WPF_bazowy!G33</f>
        <v>0</v>
      </c>
      <c r="H34" s="65"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</row>
    <row r="35" spans="1:223" ht="22.5" customHeight="1" outlineLevel="2">
      <c r="A35" s="186" t="s">
        <v>29</v>
      </c>
      <c r="B35" s="38" t="s">
        <v>82</v>
      </c>
      <c r="C35" s="120"/>
      <c r="D35" s="251" t="s">
        <v>228</v>
      </c>
      <c r="E35" s="235">
        <f>+Zał.1_WPF_bazowy!E34</f>
        <v>0</v>
      </c>
      <c r="F35" s="146">
        <f>+Zał.1_WPF_bazowy!F34</f>
        <v>0</v>
      </c>
      <c r="G35" s="147">
        <f>+Zał.1_WPF_bazowy!G34</f>
        <v>0</v>
      </c>
      <c r="H35" s="65">
        <v>0</v>
      </c>
    </row>
    <row r="36" spans="1:223" outlineLevel="2">
      <c r="A36" s="186"/>
      <c r="B36" s="38" t="s">
        <v>168</v>
      </c>
      <c r="C36" s="120"/>
      <c r="D36" s="174" t="s">
        <v>229</v>
      </c>
      <c r="E36" s="235">
        <f>+Zał.1_WPF_bazowy!E35</f>
        <v>0</v>
      </c>
      <c r="F36" s="146">
        <f>+Zał.1_WPF_bazowy!F35</f>
        <v>0</v>
      </c>
      <c r="G36" s="147">
        <f>+Zał.1_WPF_bazowy!G35</f>
        <v>0</v>
      </c>
      <c r="H36" s="65">
        <v>0</v>
      </c>
    </row>
    <row r="37" spans="1:223" s="72" customFormat="1" ht="15" outlineLevel="1">
      <c r="A37" s="186" t="s">
        <v>29</v>
      </c>
      <c r="B37" s="37">
        <v>6</v>
      </c>
      <c r="C37" s="119"/>
      <c r="D37" s="172" t="s">
        <v>25</v>
      </c>
      <c r="E37" s="236">
        <v>4222712.3600000003</v>
      </c>
      <c r="F37" s="148">
        <v>3318757.43</v>
      </c>
      <c r="G37" s="149">
        <v>1205744.29</v>
      </c>
      <c r="H37" s="65">
        <f t="shared" si="1"/>
        <v>36.331196703339657</v>
      </c>
    </row>
    <row r="38" spans="1:223" ht="30.75" customHeight="1" outlineLevel="2">
      <c r="A38" s="186"/>
      <c r="B38" s="38" t="s">
        <v>169</v>
      </c>
      <c r="C38" s="120"/>
      <c r="D38" s="248" t="s">
        <v>431</v>
      </c>
      <c r="E38" s="235">
        <f>+Zał.1_WPF_bazowy!E37</f>
        <v>0</v>
      </c>
      <c r="F38" s="146">
        <f>+Zał.1_WPF_bazowy!F37</f>
        <v>0</v>
      </c>
      <c r="G38" s="147">
        <f>+Zał.1_WPF_bazowy!G37</f>
        <v>0</v>
      </c>
      <c r="H38" s="65">
        <v>0</v>
      </c>
    </row>
    <row r="39" spans="1:223" outlineLevel="2">
      <c r="A39" s="186"/>
      <c r="B39" s="38" t="s">
        <v>86</v>
      </c>
      <c r="C39" s="120"/>
      <c r="D39" s="249" t="s">
        <v>418</v>
      </c>
      <c r="E39" s="235">
        <f>+Zał.1_WPF_bazowy!E38</f>
        <v>0</v>
      </c>
      <c r="F39" s="146">
        <f>+Zał.1_WPF_bazowy!F38</f>
        <v>0</v>
      </c>
      <c r="G39" s="147">
        <f>+Zał.1_WPF_bazowy!G38</f>
        <v>0</v>
      </c>
      <c r="H39" s="65">
        <v>0</v>
      </c>
    </row>
    <row r="40" spans="1:223" ht="24" outlineLevel="2">
      <c r="A40" s="186"/>
      <c r="B40" s="38" t="s">
        <v>170</v>
      </c>
      <c r="C40" s="120" t="s">
        <v>401</v>
      </c>
      <c r="D40" s="246" t="s">
        <v>432</v>
      </c>
      <c r="E40" s="237">
        <f>+IF(E3&lt;&gt;0,E37/E3,"-")</f>
        <v>0.49362162581726948</v>
      </c>
      <c r="F40" s="86">
        <f>+IF(F3&lt;&gt;0,F37/F3,"-")</f>
        <v>0.3808166188851842</v>
      </c>
      <c r="G40" s="87">
        <f t="shared" ref="G40" si="6">+IF(G3&lt;&gt;0,G37/G3,"-")</f>
        <v>0.2641832768895393</v>
      </c>
      <c r="H40" s="245" t="s">
        <v>29</v>
      </c>
    </row>
    <row r="41" spans="1:223" ht="24" outlineLevel="2">
      <c r="A41" s="186"/>
      <c r="B41" s="38" t="s">
        <v>171</v>
      </c>
      <c r="C41" s="120" t="s">
        <v>402</v>
      </c>
      <c r="D41" s="174" t="s">
        <v>433</v>
      </c>
      <c r="E41" s="237">
        <f>+IF(E3&lt;&gt;0,(E37-E38)/E3,"-")</f>
        <v>0.49362162581726948</v>
      </c>
      <c r="F41" s="86">
        <f>+IF(F3&lt;&gt;0,(F37-F38)/F3,"-")</f>
        <v>0.3808166188851842</v>
      </c>
      <c r="G41" s="87">
        <f t="shared" ref="G41" si="7">+IF(G3&lt;&gt;0,(G37-G38)/G3,"-")</f>
        <v>0.2641832768895393</v>
      </c>
      <c r="H41" s="245" t="s">
        <v>29</v>
      </c>
    </row>
    <row r="42" spans="1:223" s="72" customFormat="1" ht="36" customHeight="1" outlineLevel="1">
      <c r="A42" s="186"/>
      <c r="B42" s="37">
        <v>7</v>
      </c>
      <c r="C42" s="119"/>
      <c r="D42" s="172" t="s">
        <v>268</v>
      </c>
      <c r="E42" s="238">
        <f>+Zał.1_WPF_bazowy!E41</f>
        <v>0</v>
      </c>
      <c r="F42" s="150">
        <f>+Zał.1_WPF_bazowy!F41</f>
        <v>0</v>
      </c>
      <c r="G42" s="151">
        <f>+Zał.1_WPF_bazowy!G41</f>
        <v>0</v>
      </c>
      <c r="H42" s="65">
        <v>0</v>
      </c>
    </row>
    <row r="43" spans="1:223" s="72" customFormat="1" ht="24" outlineLevel="1">
      <c r="A43" s="186"/>
      <c r="B43" s="37">
        <v>8</v>
      </c>
      <c r="C43" s="119"/>
      <c r="D43" s="172" t="s">
        <v>172</v>
      </c>
      <c r="E43" s="239" t="s">
        <v>29</v>
      </c>
      <c r="F43" s="152" t="s">
        <v>29</v>
      </c>
      <c r="G43" s="153" t="s">
        <v>29</v>
      </c>
      <c r="H43" s="153" t="s">
        <v>29</v>
      </c>
    </row>
    <row r="44" spans="1:223" outlineLevel="2">
      <c r="A44" s="186"/>
      <c r="B44" s="38" t="s">
        <v>173</v>
      </c>
      <c r="C44" s="120" t="s">
        <v>403</v>
      </c>
      <c r="D44" s="246" t="s">
        <v>267</v>
      </c>
      <c r="E44" s="240">
        <f>+E4-E15</f>
        <v>291616</v>
      </c>
      <c r="F44" s="88">
        <f>+F4-F15</f>
        <v>207615</v>
      </c>
      <c r="G44" s="89">
        <f t="shared" ref="G44" si="8">+G4-G15</f>
        <v>446061.79000000004</v>
      </c>
      <c r="H44" s="65">
        <f t="shared" si="1"/>
        <v>214.85046359848758</v>
      </c>
      <c r="I44" s="232"/>
    </row>
    <row r="45" spans="1:223" ht="36.75" customHeight="1" outlineLevel="2">
      <c r="A45" s="186"/>
      <c r="B45" s="38" t="s">
        <v>174</v>
      </c>
      <c r="C45" s="120" t="s">
        <v>426</v>
      </c>
      <c r="D45" s="246" t="s">
        <v>434</v>
      </c>
      <c r="E45" s="240">
        <f>+E4+E24+E26-(E15-E18)</f>
        <v>291616</v>
      </c>
      <c r="F45" s="88">
        <f>+F4+F24+F26-(F15-F18)</f>
        <v>619606</v>
      </c>
      <c r="G45" s="89">
        <f>+G4+G24+G26-(G15-G18)</f>
        <v>858053.56999999983</v>
      </c>
      <c r="H45" s="65">
        <f t="shared" si="1"/>
        <v>138.48374128074937</v>
      </c>
    </row>
    <row r="46" spans="1:223" s="72" customFormat="1" ht="15" outlineLevel="1">
      <c r="A46" s="186" t="s">
        <v>29</v>
      </c>
      <c r="B46" s="37">
        <v>9</v>
      </c>
      <c r="C46" s="119"/>
      <c r="D46" s="172" t="s">
        <v>175</v>
      </c>
      <c r="E46" s="239" t="s">
        <v>29</v>
      </c>
      <c r="F46" s="152" t="s">
        <v>29</v>
      </c>
      <c r="G46" s="153" t="s">
        <v>29</v>
      </c>
      <c r="H46" s="153" t="s">
        <v>29</v>
      </c>
    </row>
    <row r="47" spans="1:223" ht="36" outlineLevel="2">
      <c r="A47" s="186"/>
      <c r="B47" s="38" t="s">
        <v>176</v>
      </c>
      <c r="C47" s="120" t="s">
        <v>404</v>
      </c>
      <c r="D47" s="246" t="s">
        <v>435</v>
      </c>
      <c r="E47" s="237">
        <f>+IF(E3&lt;&gt;0,(E16+E20+E33)/E3,"-")</f>
        <v>5.1078180239224655E-2</v>
      </c>
      <c r="F47" s="86">
        <f>+IF(F3&lt;&gt;0,(F16+F20+F33)/F3,"-")</f>
        <v>5.0138705810294823E-2</v>
      </c>
      <c r="G47" s="87">
        <f t="shared" ref="G47" si="9">+IF(G3&lt;&gt;0,(G16+G20+G33)/G3,"-")</f>
        <v>4.3655304061087287E-2</v>
      </c>
      <c r="H47" s="245" t="s">
        <v>29</v>
      </c>
    </row>
    <row r="48" spans="1:223" ht="36" outlineLevel="2">
      <c r="A48" s="186"/>
      <c r="B48" s="38" t="s">
        <v>177</v>
      </c>
      <c r="C48" s="120" t="s">
        <v>405</v>
      </c>
      <c r="D48" s="246" t="s">
        <v>230</v>
      </c>
      <c r="E48" s="237">
        <f>+IF(E3&lt;&gt;0,(E16+E20+E33-E34)/E3,"-")</f>
        <v>5.1078180239224655E-2</v>
      </c>
      <c r="F48" s="86">
        <f>+IF(F3&lt;&gt;0,(F16+F20+F33-F34)/F3,"-")</f>
        <v>5.0138705810294823E-2</v>
      </c>
      <c r="G48" s="87">
        <f t="shared" ref="G48" si="10">+IF(G3&lt;&gt;0,(G16+G20+G33-G34)/G3,"-")</f>
        <v>4.3655304061087287E-2</v>
      </c>
      <c r="H48" s="245" t="s">
        <v>29</v>
      </c>
    </row>
    <row r="49" spans="1:223" ht="45" outlineLevel="2">
      <c r="A49" s="186" t="s">
        <v>29</v>
      </c>
      <c r="B49" s="38" t="s">
        <v>178</v>
      </c>
      <c r="C49" s="120" t="s">
        <v>404</v>
      </c>
      <c r="D49" s="249" t="s">
        <v>232</v>
      </c>
      <c r="E49" s="237">
        <f>+IF(E3&lt;&gt;0,(E16+E20+E33)/E3,"-")</f>
        <v>5.1078180239224655E-2</v>
      </c>
      <c r="F49" s="86">
        <f>+IF(F3&lt;&gt;0,(F16+F20+F33)/F3,"-")</f>
        <v>5.0138705810294823E-2</v>
      </c>
      <c r="G49" s="87">
        <f t="shared" ref="G49" si="11">+IF(G3&lt;&gt;0,(G16+G20+G33)/G3,"-")</f>
        <v>4.3655304061087287E-2</v>
      </c>
      <c r="H49" s="245" t="s">
        <v>29</v>
      </c>
    </row>
    <row r="50" spans="1:223" ht="45" outlineLevel="2">
      <c r="A50" s="186" t="s">
        <v>29</v>
      </c>
      <c r="B50" s="38" t="s">
        <v>179</v>
      </c>
      <c r="C50" s="120" t="s">
        <v>405</v>
      </c>
      <c r="D50" s="249" t="s">
        <v>231</v>
      </c>
      <c r="E50" s="237">
        <f>+IF(E3&lt;&gt;0,(E16+E20+E33-E34)/E3,"-")</f>
        <v>5.1078180239224655E-2</v>
      </c>
      <c r="F50" s="86">
        <f>+IF(F3&lt;&gt;0,(F16+F20+F33-F34)/F3,"-")</f>
        <v>5.0138705810294823E-2</v>
      </c>
      <c r="G50" s="87">
        <f t="shared" ref="G50" si="12">+IF(G3&lt;&gt;0,(G16+G20+G33-G34)/G3,"-")</f>
        <v>4.3655304061087287E-2</v>
      </c>
      <c r="H50" s="245" t="s">
        <v>29</v>
      </c>
    </row>
    <row r="51" spans="1:223" ht="33.75" outlineLevel="2">
      <c r="A51" s="186" t="s">
        <v>29</v>
      </c>
      <c r="B51" s="38" t="s">
        <v>180</v>
      </c>
      <c r="C51" s="120"/>
      <c r="D51" s="249" t="s">
        <v>233</v>
      </c>
      <c r="E51" s="235">
        <f>+Zał.1_WPF_bazowy!E50</f>
        <v>0</v>
      </c>
      <c r="F51" s="146">
        <f>+Zał.1_WPF_bazowy!F50</f>
        <v>0</v>
      </c>
      <c r="G51" s="147">
        <f>+Zał.1_WPF_bazowy!G50</f>
        <v>0</v>
      </c>
      <c r="H51" s="245" t="s">
        <v>29</v>
      </c>
    </row>
    <row r="52" spans="1:223" ht="45" outlineLevel="2">
      <c r="A52" s="186" t="s">
        <v>29</v>
      </c>
      <c r="B52" s="38" t="s">
        <v>181</v>
      </c>
      <c r="C52" s="120" t="s">
        <v>406</v>
      </c>
      <c r="D52" s="249" t="s">
        <v>234</v>
      </c>
      <c r="E52" s="237">
        <f>+IF(E3&lt;&gt;0,(E16+E20+E33+E51-E34)/E3,"-")</f>
        <v>5.1078180239224655E-2</v>
      </c>
      <c r="F52" s="86">
        <f>+IF(F3&lt;&gt;0,(F16+F20+F33+F51-F34)/F3,"-")</f>
        <v>5.0138705810294823E-2</v>
      </c>
      <c r="G52" s="87">
        <f t="shared" ref="G52" si="13">+IF(G3&lt;&gt;0,(G16+G20+G33+G51-G34)/G3,"-")</f>
        <v>4.3655304061087287E-2</v>
      </c>
      <c r="H52" s="245" t="s">
        <v>29</v>
      </c>
    </row>
    <row r="53" spans="1:223" outlineLevel="3">
      <c r="A53" s="186" t="s">
        <v>29</v>
      </c>
      <c r="B53" s="73" t="s">
        <v>98</v>
      </c>
      <c r="C53" s="120" t="s">
        <v>407</v>
      </c>
      <c r="D53" s="183" t="s">
        <v>425</v>
      </c>
      <c r="E53" s="237">
        <f>+IF(E3&lt;&gt;0,(E4+E12-E15)/E3,"-")</f>
        <v>9.185938762668254E-2</v>
      </c>
      <c r="F53" s="86">
        <f>+IF(F3&lt;&gt;0,(F4+F12-F15)/F3,"-")</f>
        <v>8.0530988184606647E-2</v>
      </c>
      <c r="G53" s="87">
        <f t="shared" ref="G53" si="14">+IF(G3&lt;&gt;0,(G4+G12-G15)/G3,"-")</f>
        <v>0.17444215358170295</v>
      </c>
      <c r="H53" s="245" t="s">
        <v>29</v>
      </c>
    </row>
    <row r="54" spans="1:223" ht="45" outlineLevel="2">
      <c r="A54" s="186" t="s">
        <v>29</v>
      </c>
      <c r="B54" s="38" t="s">
        <v>182</v>
      </c>
      <c r="C54" s="120" t="s">
        <v>408</v>
      </c>
      <c r="D54" s="249" t="s">
        <v>436</v>
      </c>
      <c r="E54" s="241">
        <f>0.096</f>
        <v>9.6000000000000002E-2</v>
      </c>
      <c r="F54" s="231">
        <f>0.096</f>
        <v>9.6000000000000002E-2</v>
      </c>
      <c r="G54" s="231">
        <f>0.096</f>
        <v>9.6000000000000002E-2</v>
      </c>
      <c r="H54" s="245" t="s">
        <v>29</v>
      </c>
    </row>
    <row r="55" spans="1:223" ht="45" outlineLevel="2">
      <c r="A55" s="186" t="s">
        <v>29</v>
      </c>
      <c r="B55" s="38" t="s">
        <v>101</v>
      </c>
      <c r="C55" s="120" t="s">
        <v>408</v>
      </c>
      <c r="D55" s="249" t="s">
        <v>437</v>
      </c>
      <c r="E55" s="241">
        <f>0.0998</f>
        <v>9.98E-2</v>
      </c>
      <c r="F55" s="231">
        <f>0.0998</f>
        <v>9.98E-2</v>
      </c>
      <c r="G55" s="231">
        <f>0.0998</f>
        <v>9.98E-2</v>
      </c>
      <c r="H55" s="245" t="s">
        <v>29</v>
      </c>
    </row>
    <row r="56" spans="1:223" ht="56.25" outlineLevel="2">
      <c r="A56" s="186" t="s">
        <v>29</v>
      </c>
      <c r="B56" s="38" t="s">
        <v>183</v>
      </c>
      <c r="C56" s="120" t="s">
        <v>409</v>
      </c>
      <c r="D56" s="249" t="s">
        <v>236</v>
      </c>
      <c r="E56" s="242" t="s">
        <v>477</v>
      </c>
      <c r="F56" s="242" t="s">
        <v>477</v>
      </c>
      <c r="G56" s="242" t="s">
        <v>477</v>
      </c>
      <c r="H56" s="245" t="s">
        <v>29</v>
      </c>
    </row>
    <row r="57" spans="1:223" ht="45" customHeight="1" outlineLevel="2">
      <c r="A57" s="186" t="s">
        <v>29</v>
      </c>
      <c r="B57" s="38" t="s">
        <v>104</v>
      </c>
      <c r="C57" s="120" t="s">
        <v>410</v>
      </c>
      <c r="D57" s="249" t="s">
        <v>235</v>
      </c>
      <c r="E57" s="242" t="s">
        <v>477</v>
      </c>
      <c r="F57" s="242" t="s">
        <v>477</v>
      </c>
      <c r="G57" s="242" t="s">
        <v>477</v>
      </c>
      <c r="H57" s="245" t="s">
        <v>29</v>
      </c>
    </row>
    <row r="58" spans="1:223" s="72" customFormat="1" ht="15" outlineLevel="1">
      <c r="A58" s="186"/>
      <c r="B58" s="37">
        <v>10</v>
      </c>
      <c r="C58" s="119"/>
      <c r="D58" s="172" t="s">
        <v>237</v>
      </c>
      <c r="E58" s="238">
        <f>+Zał.1_WPF_bazowy!E57</f>
        <v>0</v>
      </c>
      <c r="F58" s="150">
        <f>+Zał.1_WPF_bazowy!F57</f>
        <v>0</v>
      </c>
      <c r="G58" s="151">
        <f>+Zał.1_WPF_bazowy!G57</f>
        <v>0</v>
      </c>
      <c r="H58" s="65">
        <v>0</v>
      </c>
    </row>
    <row r="59" spans="1:223" s="69" customFormat="1" outlineLevel="2">
      <c r="A59" s="186"/>
      <c r="B59" s="38" t="s">
        <v>184</v>
      </c>
      <c r="C59" s="120"/>
      <c r="D59" s="174" t="s">
        <v>238</v>
      </c>
      <c r="E59" s="235">
        <f>+Zał.1_WPF_bazowy!E58</f>
        <v>0</v>
      </c>
      <c r="F59" s="146">
        <f>+Zał.1_WPF_bazowy!F58</f>
        <v>0</v>
      </c>
      <c r="G59" s="147">
        <f>+Zał.1_WPF_bazowy!G58</f>
        <v>0</v>
      </c>
      <c r="H59" s="65">
        <v>0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</row>
    <row r="60" spans="1:223" s="77" customFormat="1" ht="24" outlineLevel="1">
      <c r="A60" s="186"/>
      <c r="B60" s="37">
        <v>11</v>
      </c>
      <c r="C60" s="119"/>
      <c r="D60" s="172" t="s">
        <v>108</v>
      </c>
      <c r="E60" s="239" t="s">
        <v>29</v>
      </c>
      <c r="F60" s="152" t="s">
        <v>29</v>
      </c>
      <c r="G60" s="153" t="s">
        <v>29</v>
      </c>
      <c r="H60" s="153" t="s">
        <v>29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</row>
    <row r="61" spans="1:223" outlineLevel="2">
      <c r="A61" s="186"/>
      <c r="B61" s="38" t="s">
        <v>185</v>
      </c>
      <c r="C61" s="120"/>
      <c r="D61" s="174" t="s">
        <v>239</v>
      </c>
      <c r="E61" s="235">
        <v>3251343</v>
      </c>
      <c r="F61" s="146">
        <v>3286005.32</v>
      </c>
      <c r="G61" s="147">
        <v>1591234.57</v>
      </c>
      <c r="H61" s="65">
        <f t="shared" si="1"/>
        <v>48.424588977841346</v>
      </c>
    </row>
    <row r="62" spans="1:223" ht="24" outlineLevel="2">
      <c r="A62" s="186"/>
      <c r="B62" s="38" t="s">
        <v>186</v>
      </c>
      <c r="C62" s="120"/>
      <c r="D62" s="174" t="s">
        <v>240</v>
      </c>
      <c r="E62" s="235">
        <v>1122600</v>
      </c>
      <c r="F62" s="146">
        <v>1140180</v>
      </c>
      <c r="G62" s="147">
        <v>585627.72</v>
      </c>
      <c r="H62" s="65">
        <f t="shared" si="1"/>
        <v>51.36274272483292</v>
      </c>
    </row>
    <row r="63" spans="1:223" outlineLevel="2">
      <c r="A63" s="186"/>
      <c r="B63" s="38" t="s">
        <v>187</v>
      </c>
      <c r="C63" s="120" t="s">
        <v>411</v>
      </c>
      <c r="D63" s="174" t="s">
        <v>243</v>
      </c>
      <c r="E63" s="240">
        <f>+E64+E65</f>
        <v>4363028.4800000004</v>
      </c>
      <c r="F63" s="88">
        <f>+F64+F65</f>
        <v>2653373</v>
      </c>
      <c r="G63" s="89">
        <f>SUM(G64:G65)</f>
        <v>9900</v>
      </c>
      <c r="H63" s="65">
        <f t="shared" si="1"/>
        <v>0.37310999998869365</v>
      </c>
    </row>
    <row r="64" spans="1:223" outlineLevel="2">
      <c r="A64" s="186"/>
      <c r="B64" s="38" t="s">
        <v>112</v>
      </c>
      <c r="C64" s="120"/>
      <c r="D64" s="175" t="s">
        <v>241</v>
      </c>
      <c r="E64" s="235">
        <v>177484.48</v>
      </c>
      <c r="F64" s="146">
        <f>+Zał.1_WPF_bazowy!F63</f>
        <v>9900</v>
      </c>
      <c r="G64" s="147">
        <v>9900</v>
      </c>
      <c r="H64" s="65">
        <f t="shared" si="1"/>
        <v>100</v>
      </c>
    </row>
    <row r="65" spans="1:8" outlineLevel="2">
      <c r="A65" s="186"/>
      <c r="B65" s="38" t="s">
        <v>114</v>
      </c>
      <c r="C65" s="120"/>
      <c r="D65" s="175" t="s">
        <v>242</v>
      </c>
      <c r="E65" s="235">
        <v>4185544</v>
      </c>
      <c r="F65" s="146">
        <f>+Zał.1_WPF_bazowy!F64</f>
        <v>2643473</v>
      </c>
      <c r="G65" s="147">
        <v>0</v>
      </c>
      <c r="H65" s="65">
        <f t="shared" si="1"/>
        <v>0</v>
      </c>
    </row>
    <row r="66" spans="1:8" outlineLevel="2">
      <c r="A66" s="186"/>
      <c r="B66" s="38" t="s">
        <v>188</v>
      </c>
      <c r="C66" s="120"/>
      <c r="D66" s="174" t="s">
        <v>244</v>
      </c>
      <c r="E66" s="235">
        <v>4184075</v>
      </c>
      <c r="F66" s="146">
        <f>+Zał.1_WPF_bazowy!F65</f>
        <v>2655054</v>
      </c>
      <c r="G66" s="147">
        <v>0</v>
      </c>
      <c r="H66" s="65">
        <f t="shared" si="1"/>
        <v>0</v>
      </c>
    </row>
    <row r="67" spans="1:8" outlineLevel="2">
      <c r="A67" s="186"/>
      <c r="B67" s="38" t="s">
        <v>189</v>
      </c>
      <c r="C67" s="120"/>
      <c r="D67" s="174" t="s">
        <v>245</v>
      </c>
      <c r="E67" s="235">
        <v>227981</v>
      </c>
      <c r="F67" s="146">
        <f>+Zał.1_WPF_bazowy!F66</f>
        <v>1198402</v>
      </c>
      <c r="G67" s="147">
        <v>30018.82</v>
      </c>
      <c r="H67" s="65">
        <f t="shared" si="1"/>
        <v>2.5049040305339942</v>
      </c>
    </row>
    <row r="68" spans="1:8" outlineLevel="2">
      <c r="A68" s="186"/>
      <c r="B68" s="38" t="s">
        <v>190</v>
      </c>
      <c r="C68" s="120"/>
      <c r="D68" s="174" t="s">
        <v>246</v>
      </c>
      <c r="E68" s="235">
        <v>57400</v>
      </c>
      <c r="F68" s="146">
        <f>+Zał.1_WPF_bazowy!F67</f>
        <v>40000</v>
      </c>
      <c r="G68" s="147">
        <v>40000</v>
      </c>
      <c r="H68" s="65">
        <f t="shared" ref="H68:H91" si="15">SUM(G68/F68*100)</f>
        <v>100</v>
      </c>
    </row>
    <row r="69" spans="1:8" s="72" customFormat="1" ht="24" outlineLevel="1">
      <c r="A69" s="186"/>
      <c r="B69" s="37">
        <v>12</v>
      </c>
      <c r="C69" s="119"/>
      <c r="D69" s="172" t="s">
        <v>119</v>
      </c>
      <c r="E69" s="239" t="s">
        <v>29</v>
      </c>
      <c r="F69" s="152" t="s">
        <v>29</v>
      </c>
      <c r="G69" s="153" t="s">
        <v>29</v>
      </c>
      <c r="H69" s="153" t="s">
        <v>29</v>
      </c>
    </row>
    <row r="70" spans="1:8" ht="27.75" customHeight="1" outlineLevel="2">
      <c r="A70" s="186"/>
      <c r="B70" s="38" t="s">
        <v>191</v>
      </c>
      <c r="C70" s="120"/>
      <c r="D70" s="174" t="s">
        <v>438</v>
      </c>
      <c r="E70" s="235">
        <v>1485</v>
      </c>
      <c r="F70" s="146">
        <f>+Zał.1_WPF_bazowy!F69</f>
        <v>1485</v>
      </c>
      <c r="G70" s="147">
        <v>1485</v>
      </c>
      <c r="H70" s="65">
        <f t="shared" si="15"/>
        <v>100</v>
      </c>
    </row>
    <row r="71" spans="1:8" outlineLevel="2">
      <c r="A71" s="186"/>
      <c r="B71" s="38" t="s">
        <v>121</v>
      </c>
      <c r="C71" s="120"/>
      <c r="D71" s="175" t="s">
        <v>247</v>
      </c>
      <c r="E71" s="235">
        <f>+Zał.1_WPF_bazowy!E70</f>
        <v>0</v>
      </c>
      <c r="F71" s="146">
        <f>+Zał.1_WPF_bazowy!F70</f>
        <v>0</v>
      </c>
      <c r="G71" s="147">
        <f>+Zał.1_WPF_bazowy!G70</f>
        <v>0</v>
      </c>
      <c r="H71" s="65">
        <v>0</v>
      </c>
    </row>
    <row r="72" spans="1:8" ht="25.5" customHeight="1" outlineLevel="2">
      <c r="A72" s="186"/>
      <c r="B72" s="38" t="s">
        <v>123</v>
      </c>
      <c r="C72" s="120"/>
      <c r="D72" s="176" t="s">
        <v>248</v>
      </c>
      <c r="E72" s="235">
        <f>+Zał.1_WPF_bazowy!E71</f>
        <v>0</v>
      </c>
      <c r="F72" s="146">
        <f>+Zał.1_WPF_bazowy!F71</f>
        <v>0</v>
      </c>
      <c r="G72" s="147">
        <f>+Zał.1_WPF_bazowy!G71</f>
        <v>0</v>
      </c>
      <c r="H72" s="65">
        <v>0</v>
      </c>
    </row>
    <row r="73" spans="1:8" ht="26.25" customHeight="1" outlineLevel="2">
      <c r="A73" s="186"/>
      <c r="B73" s="38" t="s">
        <v>192</v>
      </c>
      <c r="C73" s="120"/>
      <c r="D73" s="246" t="s">
        <v>439</v>
      </c>
      <c r="E73" s="235">
        <v>779500</v>
      </c>
      <c r="F73" s="146">
        <f>+Zał.1_WPF_bazowy!F72</f>
        <v>779500</v>
      </c>
      <c r="G73" s="147">
        <v>279500</v>
      </c>
      <c r="H73" s="65">
        <f t="shared" si="15"/>
        <v>35.856318152661963</v>
      </c>
    </row>
    <row r="74" spans="1:8" outlineLevel="2">
      <c r="A74" s="186"/>
      <c r="B74" s="38" t="s">
        <v>126</v>
      </c>
      <c r="C74" s="120"/>
      <c r="D74" s="175" t="s">
        <v>247</v>
      </c>
      <c r="E74" s="235">
        <v>779500</v>
      </c>
      <c r="F74" s="146">
        <f>+Zał.1_WPF_bazowy!F73</f>
        <v>779500</v>
      </c>
      <c r="G74" s="147">
        <v>279500</v>
      </c>
      <c r="H74" s="65">
        <f t="shared" si="15"/>
        <v>35.856318152661963</v>
      </c>
    </row>
    <row r="75" spans="1:8" ht="27.75" customHeight="1" outlineLevel="2">
      <c r="A75" s="186"/>
      <c r="B75" s="38" t="s">
        <v>128</v>
      </c>
      <c r="C75" s="120"/>
      <c r="D75" s="176" t="s">
        <v>248</v>
      </c>
      <c r="E75" s="235">
        <v>779500</v>
      </c>
      <c r="F75" s="146">
        <f>+Zał.1_WPF_bazowy!F74</f>
        <v>779500</v>
      </c>
      <c r="G75" s="147">
        <v>279500</v>
      </c>
      <c r="H75" s="65">
        <f t="shared" si="15"/>
        <v>35.856318152661963</v>
      </c>
    </row>
    <row r="76" spans="1:8" ht="24" outlineLevel="2">
      <c r="A76" s="186"/>
      <c r="B76" s="38" t="s">
        <v>193</v>
      </c>
      <c r="C76" s="120"/>
      <c r="D76" s="246" t="s">
        <v>249</v>
      </c>
      <c r="E76" s="235">
        <v>9900</v>
      </c>
      <c r="F76" s="146">
        <f>+Zał.1_WPF_bazowy!F75</f>
        <v>9900</v>
      </c>
      <c r="G76" s="147">
        <v>9900</v>
      </c>
      <c r="H76" s="65">
        <f t="shared" si="15"/>
        <v>100</v>
      </c>
    </row>
    <row r="77" spans="1:8" outlineLevel="2">
      <c r="A77" s="186"/>
      <c r="B77" s="38" t="s">
        <v>131</v>
      </c>
      <c r="C77" s="120"/>
      <c r="D77" s="246" t="s">
        <v>251</v>
      </c>
      <c r="E77" s="235">
        <v>8415</v>
      </c>
      <c r="F77" s="146">
        <f>+Zał.1_WPF_bazowy!F76</f>
        <v>8415</v>
      </c>
      <c r="G77" s="147">
        <v>8415</v>
      </c>
      <c r="H77" s="65">
        <f t="shared" si="15"/>
        <v>100</v>
      </c>
    </row>
    <row r="78" spans="1:8" ht="36" outlineLevel="2">
      <c r="A78" s="186"/>
      <c r="B78" s="38" t="s">
        <v>133</v>
      </c>
      <c r="C78" s="120"/>
      <c r="D78" s="246" t="s">
        <v>250</v>
      </c>
      <c r="E78" s="235">
        <v>9900</v>
      </c>
      <c r="F78" s="146">
        <f>+Zał.1_WPF_bazowy!F77</f>
        <v>9900</v>
      </c>
      <c r="G78" s="147">
        <v>9900</v>
      </c>
      <c r="H78" s="65">
        <f t="shared" si="15"/>
        <v>100</v>
      </c>
    </row>
    <row r="79" spans="1:8" ht="24" outlineLevel="2">
      <c r="A79" s="186"/>
      <c r="B79" s="38" t="s">
        <v>194</v>
      </c>
      <c r="C79" s="120"/>
      <c r="D79" s="246" t="s">
        <v>252</v>
      </c>
      <c r="E79" s="235">
        <v>1334069</v>
      </c>
      <c r="F79" s="146">
        <f>+Zał.1_WPF_bazowy!F78</f>
        <v>1334069</v>
      </c>
      <c r="G79" s="147">
        <v>0</v>
      </c>
      <c r="H79" s="65">
        <f t="shared" si="15"/>
        <v>0</v>
      </c>
    </row>
    <row r="80" spans="1:8" outlineLevel="2">
      <c r="A80" s="186"/>
      <c r="B80" s="38" t="s">
        <v>136</v>
      </c>
      <c r="C80" s="120"/>
      <c r="D80" s="246" t="s">
        <v>253</v>
      </c>
      <c r="E80" s="235">
        <v>500000</v>
      </c>
      <c r="F80" s="146">
        <f>+Zał.1_WPF_bazowy!F79</f>
        <v>500000</v>
      </c>
      <c r="G80" s="147">
        <v>0</v>
      </c>
      <c r="H80" s="65">
        <f t="shared" si="15"/>
        <v>0</v>
      </c>
    </row>
    <row r="81" spans="1:8" ht="36" outlineLevel="2">
      <c r="A81" s="186"/>
      <c r="B81" s="38" t="s">
        <v>138</v>
      </c>
      <c r="C81" s="120"/>
      <c r="D81" s="246" t="s">
        <v>254</v>
      </c>
      <c r="E81" s="235">
        <v>1334069</v>
      </c>
      <c r="F81" s="146">
        <f>+Zał.1_WPF_bazowy!F80</f>
        <v>1334069</v>
      </c>
      <c r="G81" s="147">
        <f>+Zał.1_WPF_bazowy!G80</f>
        <v>0</v>
      </c>
      <c r="H81" s="65">
        <f t="shared" si="15"/>
        <v>0</v>
      </c>
    </row>
    <row r="82" spans="1:8" s="72" customFormat="1" ht="31.5" outlineLevel="1">
      <c r="A82" s="186"/>
      <c r="B82" s="37">
        <v>13</v>
      </c>
      <c r="C82" s="119"/>
      <c r="D82" s="247" t="s">
        <v>140</v>
      </c>
      <c r="E82" s="239" t="s">
        <v>29</v>
      </c>
      <c r="F82" s="152" t="s">
        <v>29</v>
      </c>
      <c r="G82" s="153" t="s">
        <v>29</v>
      </c>
      <c r="H82" s="153" t="s">
        <v>29</v>
      </c>
    </row>
    <row r="83" spans="1:8" ht="33.75" outlineLevel="2">
      <c r="A83" s="186"/>
      <c r="B83" s="38" t="s">
        <v>195</v>
      </c>
      <c r="C83" s="120"/>
      <c r="D83" s="248" t="s">
        <v>255</v>
      </c>
      <c r="E83" s="243">
        <v>0</v>
      </c>
      <c r="F83" s="154">
        <v>0</v>
      </c>
      <c r="G83" s="155">
        <f t="shared" ref="G83" si="16">+IF(G3&lt;&gt;0,F83-(G85+G86+G87+G88),0)</f>
        <v>0</v>
      </c>
      <c r="H83" s="65">
        <v>0</v>
      </c>
    </row>
    <row r="84" spans="1:8" ht="33.75" outlineLevel="2">
      <c r="A84" s="186"/>
      <c r="B84" s="38" t="s">
        <v>196</v>
      </c>
      <c r="C84" s="120"/>
      <c r="D84" s="248" t="s">
        <v>440</v>
      </c>
      <c r="E84" s="235">
        <f>+Zał.1_WPF_bazowy!E83</f>
        <v>0</v>
      </c>
      <c r="F84" s="146">
        <f>+Zał.1_WPF_bazowy!F83</f>
        <v>0</v>
      </c>
      <c r="G84" s="147">
        <f>+Zał.1_WPF_bazowy!G83</f>
        <v>0</v>
      </c>
      <c r="H84" s="65">
        <v>0</v>
      </c>
    </row>
    <row r="85" spans="1:8" ht="22.5" outlineLevel="2">
      <c r="A85" s="186"/>
      <c r="B85" s="38" t="s">
        <v>197</v>
      </c>
      <c r="C85" s="120"/>
      <c r="D85" s="248" t="s">
        <v>256</v>
      </c>
      <c r="E85" s="235">
        <f>+Zał.1_WPF_bazowy!E84</f>
        <v>0</v>
      </c>
      <c r="F85" s="146">
        <f>+Zał.1_WPF_bazowy!F84</f>
        <v>0</v>
      </c>
      <c r="G85" s="147">
        <f>+Zał.1_WPF_bazowy!G84</f>
        <v>0</v>
      </c>
      <c r="H85" s="65">
        <v>0</v>
      </c>
    </row>
    <row r="86" spans="1:8" ht="33.75" outlineLevel="2">
      <c r="A86" s="186"/>
      <c r="B86" s="38" t="s">
        <v>198</v>
      </c>
      <c r="C86" s="120"/>
      <c r="D86" s="248" t="s">
        <v>441</v>
      </c>
      <c r="E86" s="235">
        <f>+Zał.1_WPF_bazowy!E85</f>
        <v>0</v>
      </c>
      <c r="F86" s="146">
        <f>+Zał.1_WPF_bazowy!F85</f>
        <v>0</v>
      </c>
      <c r="G86" s="147">
        <f>+Zał.1_WPF_bazowy!G85</f>
        <v>0</v>
      </c>
      <c r="H86" s="65">
        <v>0</v>
      </c>
    </row>
    <row r="87" spans="1:8" ht="33.75" outlineLevel="2">
      <c r="A87" s="186"/>
      <c r="B87" s="38" t="s">
        <v>199</v>
      </c>
      <c r="C87" s="120"/>
      <c r="D87" s="248" t="s">
        <v>442</v>
      </c>
      <c r="E87" s="235">
        <f>+Zał.1_WPF_bazowy!E86</f>
        <v>0</v>
      </c>
      <c r="F87" s="146">
        <f>+Zał.1_WPF_bazowy!F86</f>
        <v>0</v>
      </c>
      <c r="G87" s="147">
        <f>+Zał.1_WPF_bazowy!G86</f>
        <v>0</v>
      </c>
      <c r="H87" s="65">
        <v>0</v>
      </c>
    </row>
    <row r="88" spans="1:8" ht="33.75" outlineLevel="2">
      <c r="A88" s="186"/>
      <c r="B88" s="38" t="s">
        <v>200</v>
      </c>
      <c r="C88" s="120"/>
      <c r="D88" s="248" t="s">
        <v>257</v>
      </c>
      <c r="E88" s="235">
        <f>+Zał.1_WPF_bazowy!E87</f>
        <v>0</v>
      </c>
      <c r="F88" s="146">
        <f>+Zał.1_WPF_bazowy!F87</f>
        <v>0</v>
      </c>
      <c r="G88" s="147">
        <f>+Zał.1_WPF_bazowy!G87</f>
        <v>0</v>
      </c>
      <c r="H88" s="65">
        <v>0</v>
      </c>
    </row>
    <row r="89" spans="1:8" ht="22.5" outlineLevel="2">
      <c r="A89" s="186"/>
      <c r="B89" s="38" t="s">
        <v>201</v>
      </c>
      <c r="C89" s="120"/>
      <c r="D89" s="248" t="s">
        <v>258</v>
      </c>
      <c r="E89" s="235">
        <f>+Zał.1_WPF_bazowy!E88</f>
        <v>0</v>
      </c>
      <c r="F89" s="146">
        <f>+Zał.1_WPF_bazowy!F88</f>
        <v>0</v>
      </c>
      <c r="G89" s="147">
        <f>+Zał.1_WPF_bazowy!G88</f>
        <v>0</v>
      </c>
      <c r="H89" s="65">
        <v>0</v>
      </c>
    </row>
    <row r="90" spans="1:8" s="72" customFormat="1" ht="15" outlineLevel="1">
      <c r="A90" s="186" t="s">
        <v>29</v>
      </c>
      <c r="B90" s="37">
        <v>14</v>
      </c>
      <c r="C90" s="119"/>
      <c r="D90" s="172" t="s">
        <v>148</v>
      </c>
      <c r="E90" s="239" t="s">
        <v>29</v>
      </c>
      <c r="F90" s="152" t="s">
        <v>29</v>
      </c>
      <c r="G90" s="153" t="s">
        <v>29</v>
      </c>
      <c r="H90" s="153" t="s">
        <v>29</v>
      </c>
    </row>
    <row r="91" spans="1:8" ht="26.25" customHeight="1" outlineLevel="2">
      <c r="A91" s="186" t="s">
        <v>29</v>
      </c>
      <c r="B91" s="38" t="s">
        <v>202</v>
      </c>
      <c r="C91" s="120"/>
      <c r="D91" s="249" t="s">
        <v>259</v>
      </c>
      <c r="E91" s="235">
        <v>336951</v>
      </c>
      <c r="F91" s="146">
        <f>+Zał.1_WPF_bazowy!F90</f>
        <v>336951</v>
      </c>
      <c r="G91" s="147">
        <v>168475.14</v>
      </c>
      <c r="H91" s="65">
        <f t="shared" si="15"/>
        <v>49.999893159539525</v>
      </c>
    </row>
    <row r="92" spans="1:8" outlineLevel="2">
      <c r="A92" s="186" t="s">
        <v>29</v>
      </c>
      <c r="B92" s="38" t="s">
        <v>203</v>
      </c>
      <c r="C92" s="120"/>
      <c r="D92" s="249" t="s">
        <v>260</v>
      </c>
      <c r="E92" s="235">
        <f>+Zał.1_WPF_bazowy!E91</f>
        <v>0</v>
      </c>
      <c r="F92" s="146">
        <f>+Zał.1_WPF_bazowy!F91</f>
        <v>0</v>
      </c>
      <c r="G92" s="147">
        <f>+Zał.1_WPF_bazowy!G91</f>
        <v>0</v>
      </c>
      <c r="H92" s="65">
        <v>0</v>
      </c>
    </row>
    <row r="93" spans="1:8" outlineLevel="2">
      <c r="A93" s="186" t="s">
        <v>29</v>
      </c>
      <c r="B93" s="38" t="s">
        <v>204</v>
      </c>
      <c r="C93" s="120"/>
      <c r="D93" s="249" t="s">
        <v>262</v>
      </c>
      <c r="E93" s="235">
        <f>+Zał.1_WPF_bazowy!E92</f>
        <v>0</v>
      </c>
      <c r="F93" s="146">
        <f>+Zał.1_WPF_bazowy!F92</f>
        <v>0</v>
      </c>
      <c r="G93" s="147">
        <f>+Zał.1_WPF_bazowy!G92</f>
        <v>0</v>
      </c>
      <c r="H93" s="65">
        <v>0</v>
      </c>
    </row>
    <row r="94" spans="1:8" ht="15" customHeight="1" outlineLevel="2">
      <c r="A94" s="186" t="s">
        <v>29</v>
      </c>
      <c r="B94" s="38" t="s">
        <v>152</v>
      </c>
      <c r="C94" s="120"/>
      <c r="D94" s="249" t="s">
        <v>261</v>
      </c>
      <c r="E94" s="235">
        <f>+Zał.1_WPF_bazowy!E93</f>
        <v>0</v>
      </c>
      <c r="F94" s="146">
        <f>+Zał.1_WPF_bazowy!F93</f>
        <v>0</v>
      </c>
      <c r="G94" s="147">
        <f>+Zał.1_WPF_bazowy!G93</f>
        <v>0</v>
      </c>
      <c r="H94" s="65">
        <v>0</v>
      </c>
    </row>
    <row r="95" spans="1:8" ht="19.5" customHeight="1" outlineLevel="2">
      <c r="A95" s="186" t="s">
        <v>29</v>
      </c>
      <c r="B95" s="38" t="s">
        <v>154</v>
      </c>
      <c r="C95" s="120"/>
      <c r="D95" s="249" t="s">
        <v>263</v>
      </c>
      <c r="E95" s="235">
        <f>+Zał.1_WPF_bazowy!E94</f>
        <v>0</v>
      </c>
      <c r="F95" s="146">
        <f>+Zał.1_WPF_bazowy!F94</f>
        <v>0</v>
      </c>
      <c r="G95" s="147">
        <f>+Zał.1_WPF_bazowy!G94</f>
        <v>0</v>
      </c>
      <c r="H95" s="65">
        <v>0</v>
      </c>
    </row>
    <row r="96" spans="1:8" outlineLevel="2">
      <c r="A96" s="186" t="s">
        <v>29</v>
      </c>
      <c r="B96" s="38" t="s">
        <v>156</v>
      </c>
      <c r="C96" s="120"/>
      <c r="D96" s="249" t="s">
        <v>264</v>
      </c>
      <c r="E96" s="235">
        <f>+Zał.1_WPF_bazowy!E95</f>
        <v>0</v>
      </c>
      <c r="F96" s="146">
        <f>+Zał.1_WPF_bazowy!F95</f>
        <v>0</v>
      </c>
      <c r="G96" s="147">
        <f>+Zał.1_WPF_bazowy!G95</f>
        <v>0</v>
      </c>
      <c r="H96" s="65">
        <v>0</v>
      </c>
    </row>
    <row r="97" spans="1:8" ht="20.25" customHeight="1" outlineLevel="2">
      <c r="A97" s="186" t="s">
        <v>29</v>
      </c>
      <c r="B97" s="39" t="s">
        <v>205</v>
      </c>
      <c r="C97" s="121"/>
      <c r="D97" s="250" t="s">
        <v>265</v>
      </c>
      <c r="E97" s="244">
        <f>+Zał.1_WPF_bazowy!E96</f>
        <v>0</v>
      </c>
      <c r="F97" s="156">
        <f>+Zał.1_WPF_bazowy!F96</f>
        <v>0</v>
      </c>
      <c r="G97" s="157">
        <f>+Zał.1_WPF_bazowy!G96</f>
        <v>0</v>
      </c>
      <c r="H97" s="65">
        <v>0</v>
      </c>
    </row>
    <row r="98" spans="1:8">
      <c r="B98" s="68"/>
      <c r="C98" s="68"/>
      <c r="D98" s="68"/>
      <c r="E98" s="68"/>
      <c r="F98" s="158"/>
      <c r="G98" s="158"/>
      <c r="H98" s="158"/>
    </row>
    <row r="99" spans="1:8">
      <c r="B99" s="68"/>
      <c r="C99" s="68"/>
      <c r="D99" s="68"/>
      <c r="E99" s="68"/>
      <c r="F99" s="158"/>
      <c r="G99" s="191"/>
      <c r="H99" s="158"/>
    </row>
    <row r="100" spans="1:8">
      <c r="B100" s="68"/>
      <c r="C100" s="68"/>
      <c r="D100" s="68"/>
      <c r="E100" s="68"/>
      <c r="F100" s="158"/>
      <c r="G100" s="158"/>
      <c r="H100" s="158"/>
    </row>
  </sheetData>
  <sheetProtection formatCells="0" formatColumns="0" formatRows="0" insertColumns="0" insertRows="0" deleteColumns="0" deleteRows="0"/>
  <autoFilter ref="A2:A97"/>
  <mergeCells count="1">
    <mergeCell ref="B1:H1"/>
  </mergeCells>
  <conditionalFormatting sqref="E56:G57">
    <cfRule type="containsText" dxfId="5" priority="41" stopIfTrue="1" operator="containsText" text="NIE">
      <formula>NOT(ISERROR(SEARCH("NIE",E56)))</formula>
    </cfRule>
  </conditionalFormatting>
  <conditionalFormatting sqref="F56:F57">
    <cfRule type="expression" dxfId="4" priority="5" stopIfTrue="1">
      <formula>LEFT(F56,3)="Nie"</formula>
    </cfRule>
  </conditionalFormatting>
  <conditionalFormatting sqref="E56:E57 E57:F57">
    <cfRule type="expression" dxfId="3" priority="4" stopIfTrue="1">
      <formula>LEFT(E56,3)="Nie"</formula>
    </cfRule>
  </conditionalFormatting>
  <conditionalFormatting sqref="G56:G57">
    <cfRule type="expression" dxfId="2" priority="3" stopIfTrue="1">
      <formula>LEFT(G56,3)="Nie"</formula>
    </cfRule>
  </conditionalFormatting>
  <conditionalFormatting sqref="F56:G56">
    <cfRule type="expression" dxfId="1" priority="2" stopIfTrue="1">
      <formula>LEFT(F56,3)="Nie"</formula>
    </cfRule>
  </conditionalFormatting>
  <conditionalFormatting sqref="G57">
    <cfRule type="expression" dxfId="0" priority="1" stopIfTrue="1">
      <formula>LEFT(G57,3)="Nie"</formula>
    </cfRule>
  </conditionalFormatting>
  <pageMargins left="0.51181102362204722" right="0.51181102362204722" top="0.47244094488188981" bottom="0.51181102362204722" header="0.31496062992125984" footer="0.47244094488188981"/>
  <pageSetup paperSize="9" orientation="portrait" blackAndWhite="1" horizontalDpi="4294967293" verticalDpi="4294967293" r:id="rId1"/>
  <headerFooter>
    <oddFooter>&amp;C&amp;9Strona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workbookViewId="0">
      <selection activeCell="D9" sqref="D9"/>
    </sheetView>
  </sheetViews>
  <sheetFormatPr defaultRowHeight="11.25"/>
  <cols>
    <col min="1" max="1" width="4.5" style="33" customWidth="1"/>
    <col min="2" max="2" width="6.125" style="33" customWidth="1"/>
    <col min="3" max="3" width="46.375" style="34" customWidth="1"/>
    <col min="4" max="4" width="21" style="34" customWidth="1"/>
    <col min="5" max="5" width="19.875" style="34" customWidth="1"/>
    <col min="6" max="13" width="16.75" style="34" bestFit="1" customWidth="1"/>
    <col min="14" max="16384" width="9" style="34"/>
  </cols>
  <sheetData>
    <row r="9" spans="1:34">
      <c r="B9" s="33" t="s">
        <v>0</v>
      </c>
      <c r="C9" s="34" t="s">
        <v>1</v>
      </c>
      <c r="D9" s="34">
        <v>2013</v>
      </c>
      <c r="E9" s="34">
        <v>2013</v>
      </c>
      <c r="F9" s="34">
        <f>+E9+1</f>
        <v>2014</v>
      </c>
      <c r="G9" s="34">
        <f t="shared" ref="G9:AF9" si="0">+F9+1</f>
        <v>2015</v>
      </c>
      <c r="H9" s="34">
        <f t="shared" si="0"/>
        <v>2016</v>
      </c>
      <c r="I9" s="34">
        <f t="shared" si="0"/>
        <v>2017</v>
      </c>
      <c r="J9" s="34">
        <f t="shared" si="0"/>
        <v>2018</v>
      </c>
      <c r="K9" s="34">
        <f t="shared" si="0"/>
        <v>2019</v>
      </c>
      <c r="L9" s="34">
        <f t="shared" si="0"/>
        <v>2020</v>
      </c>
      <c r="M9" s="34">
        <f t="shared" si="0"/>
        <v>2021</v>
      </c>
      <c r="N9" s="34">
        <f t="shared" si="0"/>
        <v>2022</v>
      </c>
      <c r="O9" s="34">
        <f t="shared" si="0"/>
        <v>2023</v>
      </c>
      <c r="P9" s="34">
        <f t="shared" si="0"/>
        <v>2024</v>
      </c>
      <c r="Q9" s="34">
        <f t="shared" si="0"/>
        <v>2025</v>
      </c>
      <c r="R9" s="34">
        <f t="shared" si="0"/>
        <v>2026</v>
      </c>
      <c r="S9" s="34">
        <f t="shared" si="0"/>
        <v>2027</v>
      </c>
      <c r="T9" s="34">
        <f t="shared" si="0"/>
        <v>2028</v>
      </c>
      <c r="U9" s="34">
        <f t="shared" si="0"/>
        <v>2029</v>
      </c>
      <c r="V9" s="34">
        <f t="shared" si="0"/>
        <v>2030</v>
      </c>
      <c r="W9" s="34">
        <f t="shared" si="0"/>
        <v>2031</v>
      </c>
      <c r="X9" s="34">
        <f t="shared" si="0"/>
        <v>2032</v>
      </c>
      <c r="Y9" s="34">
        <f t="shared" si="0"/>
        <v>2033</v>
      </c>
      <c r="Z9" s="34">
        <f t="shared" si="0"/>
        <v>2034</v>
      </c>
      <c r="AA9" s="34">
        <f t="shared" si="0"/>
        <v>2035</v>
      </c>
      <c r="AB9" s="34">
        <f t="shared" si="0"/>
        <v>2036</v>
      </c>
      <c r="AC9" s="34">
        <f t="shared" si="0"/>
        <v>2037</v>
      </c>
      <c r="AD9" s="34">
        <f t="shared" si="0"/>
        <v>2038</v>
      </c>
      <c r="AE9" s="34">
        <f t="shared" si="0"/>
        <v>2039</v>
      </c>
      <c r="AF9" s="34">
        <f t="shared" si="0"/>
        <v>2040</v>
      </c>
      <c r="AG9" s="34">
        <f>+AF9+1</f>
        <v>2041</v>
      </c>
      <c r="AH9" s="34">
        <f>+AG9+1</f>
        <v>2042</v>
      </c>
    </row>
    <row r="10" spans="1:34">
      <c r="A10" s="33">
        <v>10</v>
      </c>
      <c r="B10" s="33">
        <v>1</v>
      </c>
      <c r="C10" s="34" t="s">
        <v>24</v>
      </c>
      <c r="D10" s="34" t="str">
        <f>+"rokprognozy="&amp;D$9&amp;" i lp="&amp;$A10</f>
        <v>rokprognozy=2013 i lp=10</v>
      </c>
      <c r="E10" s="34" t="str">
        <f>+"rokprognozy="&amp;E$9&amp;" i lp="&amp;$A10</f>
        <v>rokprognozy=2013 i lp=10</v>
      </c>
      <c r="F10" s="34" t="str">
        <f t="shared" ref="F10:AG22" si="1">+"rokprognozy="&amp;F$9&amp;" i lp="&amp;$A10</f>
        <v>rokprognozy=2014 i lp=10</v>
      </c>
      <c r="G10" s="34" t="str">
        <f t="shared" si="1"/>
        <v>rokprognozy=2015 i lp=10</v>
      </c>
      <c r="H10" s="34" t="str">
        <f t="shared" si="1"/>
        <v>rokprognozy=2016 i lp=10</v>
      </c>
      <c r="I10" s="34" t="str">
        <f t="shared" si="1"/>
        <v>rokprognozy=2017 i lp=10</v>
      </c>
      <c r="J10" s="34" t="str">
        <f t="shared" si="1"/>
        <v>rokprognozy=2018 i lp=10</v>
      </c>
      <c r="K10" s="34" t="str">
        <f t="shared" si="1"/>
        <v>rokprognozy=2019 i lp=10</v>
      </c>
      <c r="L10" s="34" t="str">
        <f t="shared" si="1"/>
        <v>rokprognozy=2020 i lp=10</v>
      </c>
      <c r="M10" s="34" t="str">
        <f t="shared" si="1"/>
        <v>rokprognozy=2021 i lp=10</v>
      </c>
      <c r="N10" s="34" t="str">
        <f t="shared" si="1"/>
        <v>rokprognozy=2022 i lp=10</v>
      </c>
      <c r="O10" s="34" t="str">
        <f t="shared" si="1"/>
        <v>rokprognozy=2023 i lp=10</v>
      </c>
      <c r="P10" s="34" t="str">
        <f t="shared" si="1"/>
        <v>rokprognozy=2024 i lp=10</v>
      </c>
      <c r="Q10" s="34" t="str">
        <f t="shared" si="1"/>
        <v>rokprognozy=2025 i lp=10</v>
      </c>
      <c r="R10" s="34" t="str">
        <f t="shared" si="1"/>
        <v>rokprognozy=2026 i lp=10</v>
      </c>
      <c r="S10" s="34" t="str">
        <f t="shared" si="1"/>
        <v>rokprognozy=2027 i lp=10</v>
      </c>
      <c r="T10" s="34" t="str">
        <f t="shared" si="1"/>
        <v>rokprognozy=2028 i lp=10</v>
      </c>
      <c r="U10" s="34" t="str">
        <f t="shared" si="1"/>
        <v>rokprognozy=2029 i lp=10</v>
      </c>
      <c r="V10" s="34" t="str">
        <f t="shared" si="1"/>
        <v>rokprognozy=2030 i lp=10</v>
      </c>
      <c r="W10" s="34" t="str">
        <f t="shared" si="1"/>
        <v>rokprognozy=2031 i lp=10</v>
      </c>
      <c r="X10" s="34" t="str">
        <f t="shared" si="1"/>
        <v>rokprognozy=2032 i lp=10</v>
      </c>
      <c r="Y10" s="34" t="str">
        <f t="shared" si="1"/>
        <v>rokprognozy=2033 i lp=10</v>
      </c>
      <c r="Z10" s="34" t="str">
        <f t="shared" si="1"/>
        <v>rokprognozy=2034 i lp=10</v>
      </c>
      <c r="AA10" s="34" t="str">
        <f t="shared" si="1"/>
        <v>rokprognozy=2035 i lp=10</v>
      </c>
      <c r="AB10" s="34" t="str">
        <f t="shared" si="1"/>
        <v>rokprognozy=2036 i lp=10</v>
      </c>
      <c r="AC10" s="34" t="str">
        <f t="shared" si="1"/>
        <v>rokprognozy=2037 i lp=10</v>
      </c>
      <c r="AD10" s="34" t="str">
        <f t="shared" si="1"/>
        <v>rokprognozy=2038 i lp=10</v>
      </c>
      <c r="AE10" s="34" t="str">
        <f t="shared" si="1"/>
        <v>rokprognozy=2039 i lp=10</v>
      </c>
      <c r="AF10" s="34" t="str">
        <f t="shared" si="1"/>
        <v>rokprognozy=2040 i lp=10</v>
      </c>
      <c r="AG10" s="34" t="str">
        <f t="shared" si="1"/>
        <v>rokprognozy=2041 i lp=10</v>
      </c>
      <c r="AH10" s="34" t="str">
        <f t="shared" ref="AH10:AH21" si="2">+"rokprognozy="&amp;AH$9&amp;" i lp="&amp;$A10</f>
        <v>rokprognozy=2042 i lp=10</v>
      </c>
    </row>
    <row r="11" spans="1:34">
      <c r="A11" s="33">
        <v>20</v>
      </c>
      <c r="B11" s="33">
        <v>1.1000000000000001</v>
      </c>
      <c r="C11" s="34" t="s">
        <v>38</v>
      </c>
      <c r="D11" s="34" t="str">
        <f t="shared" ref="D11:D75" si="3">+"rokprognozy="&amp;D$9&amp;" i lp="&amp;$A11</f>
        <v>rokprognozy=2013 i lp=20</v>
      </c>
      <c r="E11" s="34" t="str">
        <f t="shared" ref="E11:M36" si="4">+"rokprognozy="&amp;E$9&amp;" i lp="&amp;$A11</f>
        <v>rokprognozy=2013 i lp=20</v>
      </c>
      <c r="F11" s="34" t="str">
        <f t="shared" si="4"/>
        <v>rokprognozy=2014 i lp=20</v>
      </c>
      <c r="G11" s="34" t="str">
        <f t="shared" si="4"/>
        <v>rokprognozy=2015 i lp=20</v>
      </c>
      <c r="H11" s="34" t="str">
        <f t="shared" si="4"/>
        <v>rokprognozy=2016 i lp=20</v>
      </c>
      <c r="I11" s="34" t="str">
        <f t="shared" si="4"/>
        <v>rokprognozy=2017 i lp=20</v>
      </c>
      <c r="J11" s="34" t="str">
        <f t="shared" si="4"/>
        <v>rokprognozy=2018 i lp=20</v>
      </c>
      <c r="K11" s="34" t="str">
        <f t="shared" si="4"/>
        <v>rokprognozy=2019 i lp=20</v>
      </c>
      <c r="L11" s="34" t="str">
        <f t="shared" si="4"/>
        <v>rokprognozy=2020 i lp=20</v>
      </c>
      <c r="M11" s="34" t="str">
        <f t="shared" si="4"/>
        <v>rokprognozy=2021 i lp=20</v>
      </c>
      <c r="N11" s="34" t="str">
        <f t="shared" si="1"/>
        <v>rokprognozy=2022 i lp=20</v>
      </c>
      <c r="O11" s="34" t="str">
        <f t="shared" si="1"/>
        <v>rokprognozy=2023 i lp=20</v>
      </c>
      <c r="P11" s="34" t="str">
        <f t="shared" si="1"/>
        <v>rokprognozy=2024 i lp=20</v>
      </c>
      <c r="Q11" s="34" t="str">
        <f t="shared" si="1"/>
        <v>rokprognozy=2025 i lp=20</v>
      </c>
      <c r="R11" s="34" t="str">
        <f t="shared" si="1"/>
        <v>rokprognozy=2026 i lp=20</v>
      </c>
      <c r="S11" s="34" t="str">
        <f t="shared" si="1"/>
        <v>rokprognozy=2027 i lp=20</v>
      </c>
      <c r="T11" s="34" t="str">
        <f t="shared" si="1"/>
        <v>rokprognozy=2028 i lp=20</v>
      </c>
      <c r="U11" s="34" t="str">
        <f t="shared" si="1"/>
        <v>rokprognozy=2029 i lp=20</v>
      </c>
      <c r="V11" s="34" t="str">
        <f t="shared" si="1"/>
        <v>rokprognozy=2030 i lp=20</v>
      </c>
      <c r="W11" s="34" t="str">
        <f t="shared" si="1"/>
        <v>rokprognozy=2031 i lp=20</v>
      </c>
      <c r="X11" s="34" t="str">
        <f t="shared" si="1"/>
        <v>rokprognozy=2032 i lp=20</v>
      </c>
      <c r="Y11" s="34" t="str">
        <f t="shared" si="1"/>
        <v>rokprognozy=2033 i lp=20</v>
      </c>
      <c r="Z11" s="34" t="str">
        <f t="shared" si="1"/>
        <v>rokprognozy=2034 i lp=20</v>
      </c>
      <c r="AA11" s="34" t="str">
        <f t="shared" si="1"/>
        <v>rokprognozy=2035 i lp=20</v>
      </c>
      <c r="AB11" s="34" t="str">
        <f t="shared" si="1"/>
        <v>rokprognozy=2036 i lp=20</v>
      </c>
      <c r="AC11" s="34" t="str">
        <f t="shared" si="1"/>
        <v>rokprognozy=2037 i lp=20</v>
      </c>
      <c r="AD11" s="34" t="str">
        <f t="shared" si="1"/>
        <v>rokprognozy=2038 i lp=20</v>
      </c>
      <c r="AE11" s="34" t="str">
        <f t="shared" si="1"/>
        <v>rokprognozy=2039 i lp=20</v>
      </c>
      <c r="AF11" s="34" t="str">
        <f t="shared" si="1"/>
        <v>rokprognozy=2040 i lp=20</v>
      </c>
      <c r="AG11" s="34" t="str">
        <f t="shared" si="1"/>
        <v>rokprognozy=2041 i lp=20</v>
      </c>
      <c r="AH11" s="34" t="str">
        <f t="shared" si="2"/>
        <v>rokprognozy=2042 i lp=20</v>
      </c>
    </row>
    <row r="12" spans="1:34">
      <c r="A12" s="33">
        <v>30</v>
      </c>
      <c r="B12" s="33" t="s">
        <v>39</v>
      </c>
      <c r="C12" s="34" t="s">
        <v>40</v>
      </c>
      <c r="D12" s="34" t="str">
        <f t="shared" si="3"/>
        <v>rokprognozy=2013 i lp=30</v>
      </c>
      <c r="E12" s="34" t="str">
        <f t="shared" si="4"/>
        <v>rokprognozy=2013 i lp=30</v>
      </c>
      <c r="F12" s="34" t="str">
        <f t="shared" si="4"/>
        <v>rokprognozy=2014 i lp=30</v>
      </c>
      <c r="G12" s="34" t="str">
        <f t="shared" si="4"/>
        <v>rokprognozy=2015 i lp=30</v>
      </c>
      <c r="H12" s="34" t="str">
        <f t="shared" si="4"/>
        <v>rokprognozy=2016 i lp=30</v>
      </c>
      <c r="I12" s="34" t="str">
        <f t="shared" si="4"/>
        <v>rokprognozy=2017 i lp=30</v>
      </c>
      <c r="J12" s="34" t="str">
        <f t="shared" si="4"/>
        <v>rokprognozy=2018 i lp=30</v>
      </c>
      <c r="K12" s="34" t="str">
        <f t="shared" si="4"/>
        <v>rokprognozy=2019 i lp=30</v>
      </c>
      <c r="L12" s="34" t="str">
        <f t="shared" si="4"/>
        <v>rokprognozy=2020 i lp=30</v>
      </c>
      <c r="M12" s="34" t="str">
        <f t="shared" si="4"/>
        <v>rokprognozy=2021 i lp=30</v>
      </c>
      <c r="N12" s="34" t="str">
        <f t="shared" si="1"/>
        <v>rokprognozy=2022 i lp=30</v>
      </c>
      <c r="O12" s="34" t="str">
        <f t="shared" si="1"/>
        <v>rokprognozy=2023 i lp=30</v>
      </c>
      <c r="P12" s="34" t="str">
        <f t="shared" si="1"/>
        <v>rokprognozy=2024 i lp=30</v>
      </c>
      <c r="Q12" s="34" t="str">
        <f t="shared" si="1"/>
        <v>rokprognozy=2025 i lp=30</v>
      </c>
      <c r="R12" s="34" t="str">
        <f t="shared" si="1"/>
        <v>rokprognozy=2026 i lp=30</v>
      </c>
      <c r="S12" s="34" t="str">
        <f t="shared" si="1"/>
        <v>rokprognozy=2027 i lp=30</v>
      </c>
      <c r="T12" s="34" t="str">
        <f t="shared" si="1"/>
        <v>rokprognozy=2028 i lp=30</v>
      </c>
      <c r="U12" s="34" t="str">
        <f t="shared" si="1"/>
        <v>rokprognozy=2029 i lp=30</v>
      </c>
      <c r="V12" s="34" t="str">
        <f t="shared" si="1"/>
        <v>rokprognozy=2030 i lp=30</v>
      </c>
      <c r="W12" s="34" t="str">
        <f t="shared" si="1"/>
        <v>rokprognozy=2031 i lp=30</v>
      </c>
      <c r="X12" s="34" t="str">
        <f t="shared" si="1"/>
        <v>rokprognozy=2032 i lp=30</v>
      </c>
      <c r="Y12" s="34" t="str">
        <f t="shared" si="1"/>
        <v>rokprognozy=2033 i lp=30</v>
      </c>
      <c r="Z12" s="34" t="str">
        <f t="shared" si="1"/>
        <v>rokprognozy=2034 i lp=30</v>
      </c>
      <c r="AA12" s="34" t="str">
        <f t="shared" si="1"/>
        <v>rokprognozy=2035 i lp=30</v>
      </c>
      <c r="AB12" s="34" t="str">
        <f t="shared" si="1"/>
        <v>rokprognozy=2036 i lp=30</v>
      </c>
      <c r="AC12" s="34" t="str">
        <f t="shared" si="1"/>
        <v>rokprognozy=2037 i lp=30</v>
      </c>
      <c r="AD12" s="34" t="str">
        <f t="shared" si="1"/>
        <v>rokprognozy=2038 i lp=30</v>
      </c>
      <c r="AE12" s="34" t="str">
        <f t="shared" si="1"/>
        <v>rokprognozy=2039 i lp=30</v>
      </c>
      <c r="AF12" s="34" t="str">
        <f t="shared" si="1"/>
        <v>rokprognozy=2040 i lp=30</v>
      </c>
      <c r="AG12" s="34" t="str">
        <f t="shared" si="1"/>
        <v>rokprognozy=2041 i lp=30</v>
      </c>
      <c r="AH12" s="34" t="str">
        <f t="shared" si="2"/>
        <v>rokprognozy=2042 i lp=30</v>
      </c>
    </row>
    <row r="13" spans="1:34">
      <c r="A13" s="33">
        <v>40</v>
      </c>
      <c r="B13" s="33" t="s">
        <v>41</v>
      </c>
      <c r="C13" s="34" t="s">
        <v>42</v>
      </c>
      <c r="D13" s="34" t="str">
        <f t="shared" si="3"/>
        <v>rokprognozy=2013 i lp=40</v>
      </c>
      <c r="E13" s="34" t="str">
        <f t="shared" si="4"/>
        <v>rokprognozy=2013 i lp=40</v>
      </c>
      <c r="F13" s="34" t="str">
        <f t="shared" si="4"/>
        <v>rokprognozy=2014 i lp=40</v>
      </c>
      <c r="G13" s="34" t="str">
        <f t="shared" si="4"/>
        <v>rokprognozy=2015 i lp=40</v>
      </c>
      <c r="H13" s="34" t="str">
        <f t="shared" si="4"/>
        <v>rokprognozy=2016 i lp=40</v>
      </c>
      <c r="I13" s="34" t="str">
        <f t="shared" si="4"/>
        <v>rokprognozy=2017 i lp=40</v>
      </c>
      <c r="J13" s="34" t="str">
        <f t="shared" si="4"/>
        <v>rokprognozy=2018 i lp=40</v>
      </c>
      <c r="K13" s="34" t="str">
        <f t="shared" si="4"/>
        <v>rokprognozy=2019 i lp=40</v>
      </c>
      <c r="L13" s="34" t="str">
        <f t="shared" si="4"/>
        <v>rokprognozy=2020 i lp=40</v>
      </c>
      <c r="M13" s="34" t="str">
        <f t="shared" si="4"/>
        <v>rokprognozy=2021 i lp=40</v>
      </c>
      <c r="N13" s="34" t="str">
        <f t="shared" si="1"/>
        <v>rokprognozy=2022 i lp=40</v>
      </c>
      <c r="O13" s="34" t="str">
        <f t="shared" si="1"/>
        <v>rokprognozy=2023 i lp=40</v>
      </c>
      <c r="P13" s="34" t="str">
        <f t="shared" si="1"/>
        <v>rokprognozy=2024 i lp=40</v>
      </c>
      <c r="Q13" s="34" t="str">
        <f t="shared" si="1"/>
        <v>rokprognozy=2025 i lp=40</v>
      </c>
      <c r="R13" s="34" t="str">
        <f t="shared" si="1"/>
        <v>rokprognozy=2026 i lp=40</v>
      </c>
      <c r="S13" s="34" t="str">
        <f t="shared" si="1"/>
        <v>rokprognozy=2027 i lp=40</v>
      </c>
      <c r="T13" s="34" t="str">
        <f t="shared" si="1"/>
        <v>rokprognozy=2028 i lp=40</v>
      </c>
      <c r="U13" s="34" t="str">
        <f t="shared" si="1"/>
        <v>rokprognozy=2029 i lp=40</v>
      </c>
      <c r="V13" s="34" t="str">
        <f t="shared" si="1"/>
        <v>rokprognozy=2030 i lp=40</v>
      </c>
      <c r="W13" s="34" t="str">
        <f t="shared" si="1"/>
        <v>rokprognozy=2031 i lp=40</v>
      </c>
      <c r="X13" s="34" t="str">
        <f t="shared" si="1"/>
        <v>rokprognozy=2032 i lp=40</v>
      </c>
      <c r="Y13" s="34" t="str">
        <f t="shared" si="1"/>
        <v>rokprognozy=2033 i lp=40</v>
      </c>
      <c r="Z13" s="34" t="str">
        <f t="shared" si="1"/>
        <v>rokprognozy=2034 i lp=40</v>
      </c>
      <c r="AA13" s="34" t="str">
        <f t="shared" si="1"/>
        <v>rokprognozy=2035 i lp=40</v>
      </c>
      <c r="AB13" s="34" t="str">
        <f t="shared" si="1"/>
        <v>rokprognozy=2036 i lp=40</v>
      </c>
      <c r="AC13" s="34" t="str">
        <f t="shared" si="1"/>
        <v>rokprognozy=2037 i lp=40</v>
      </c>
      <c r="AD13" s="34" t="str">
        <f t="shared" si="1"/>
        <v>rokprognozy=2038 i lp=40</v>
      </c>
      <c r="AE13" s="34" t="str">
        <f t="shared" si="1"/>
        <v>rokprognozy=2039 i lp=40</v>
      </c>
      <c r="AF13" s="34" t="str">
        <f t="shared" si="1"/>
        <v>rokprognozy=2040 i lp=40</v>
      </c>
      <c r="AG13" s="34" t="str">
        <f t="shared" si="1"/>
        <v>rokprognozy=2041 i lp=40</v>
      </c>
      <c r="AH13" s="34" t="str">
        <f t="shared" si="2"/>
        <v>rokprognozy=2042 i lp=40</v>
      </c>
    </row>
    <row r="14" spans="1:34">
      <c r="A14" s="33">
        <v>50</v>
      </c>
      <c r="B14" s="33" t="s">
        <v>43</v>
      </c>
      <c r="C14" s="34" t="s">
        <v>44</v>
      </c>
      <c r="D14" s="34" t="str">
        <f t="shared" si="3"/>
        <v>rokprognozy=2013 i lp=50</v>
      </c>
      <c r="E14" s="34" t="str">
        <f t="shared" si="4"/>
        <v>rokprognozy=2013 i lp=50</v>
      </c>
      <c r="F14" s="34" t="str">
        <f t="shared" si="4"/>
        <v>rokprognozy=2014 i lp=50</v>
      </c>
      <c r="G14" s="34" t="str">
        <f t="shared" si="4"/>
        <v>rokprognozy=2015 i lp=50</v>
      </c>
      <c r="H14" s="34" t="str">
        <f t="shared" si="4"/>
        <v>rokprognozy=2016 i lp=50</v>
      </c>
      <c r="I14" s="34" t="str">
        <f t="shared" si="4"/>
        <v>rokprognozy=2017 i lp=50</v>
      </c>
      <c r="J14" s="34" t="str">
        <f t="shared" si="4"/>
        <v>rokprognozy=2018 i lp=50</v>
      </c>
      <c r="K14" s="34" t="str">
        <f t="shared" si="4"/>
        <v>rokprognozy=2019 i lp=50</v>
      </c>
      <c r="L14" s="34" t="str">
        <f t="shared" si="4"/>
        <v>rokprognozy=2020 i lp=50</v>
      </c>
      <c r="M14" s="34" t="str">
        <f t="shared" si="4"/>
        <v>rokprognozy=2021 i lp=50</v>
      </c>
      <c r="N14" s="34" t="str">
        <f t="shared" si="1"/>
        <v>rokprognozy=2022 i lp=50</v>
      </c>
      <c r="O14" s="34" t="str">
        <f t="shared" si="1"/>
        <v>rokprognozy=2023 i lp=50</v>
      </c>
      <c r="P14" s="34" t="str">
        <f t="shared" si="1"/>
        <v>rokprognozy=2024 i lp=50</v>
      </c>
      <c r="Q14" s="34" t="str">
        <f t="shared" si="1"/>
        <v>rokprognozy=2025 i lp=50</v>
      </c>
      <c r="R14" s="34" t="str">
        <f t="shared" si="1"/>
        <v>rokprognozy=2026 i lp=50</v>
      </c>
      <c r="S14" s="34" t="str">
        <f t="shared" si="1"/>
        <v>rokprognozy=2027 i lp=50</v>
      </c>
      <c r="T14" s="34" t="str">
        <f t="shared" si="1"/>
        <v>rokprognozy=2028 i lp=50</v>
      </c>
      <c r="U14" s="34" t="str">
        <f t="shared" si="1"/>
        <v>rokprognozy=2029 i lp=50</v>
      </c>
      <c r="V14" s="34" t="str">
        <f t="shared" si="1"/>
        <v>rokprognozy=2030 i lp=50</v>
      </c>
      <c r="W14" s="34" t="str">
        <f t="shared" si="1"/>
        <v>rokprognozy=2031 i lp=50</v>
      </c>
      <c r="X14" s="34" t="str">
        <f t="shared" si="1"/>
        <v>rokprognozy=2032 i lp=50</v>
      </c>
      <c r="Y14" s="34" t="str">
        <f t="shared" si="1"/>
        <v>rokprognozy=2033 i lp=50</v>
      </c>
      <c r="Z14" s="34" t="str">
        <f t="shared" si="1"/>
        <v>rokprognozy=2034 i lp=50</v>
      </c>
      <c r="AA14" s="34" t="str">
        <f t="shared" si="1"/>
        <v>rokprognozy=2035 i lp=50</v>
      </c>
      <c r="AB14" s="34" t="str">
        <f t="shared" si="1"/>
        <v>rokprognozy=2036 i lp=50</v>
      </c>
      <c r="AC14" s="34" t="str">
        <f t="shared" si="1"/>
        <v>rokprognozy=2037 i lp=50</v>
      </c>
      <c r="AD14" s="34" t="str">
        <f t="shared" si="1"/>
        <v>rokprognozy=2038 i lp=50</v>
      </c>
      <c r="AE14" s="34" t="str">
        <f t="shared" si="1"/>
        <v>rokprognozy=2039 i lp=50</v>
      </c>
      <c r="AF14" s="34" t="str">
        <f t="shared" si="1"/>
        <v>rokprognozy=2040 i lp=50</v>
      </c>
      <c r="AG14" s="34" t="str">
        <f t="shared" si="1"/>
        <v>rokprognozy=2041 i lp=50</v>
      </c>
      <c r="AH14" s="34" t="str">
        <f t="shared" si="2"/>
        <v>rokprognozy=2042 i lp=50</v>
      </c>
    </row>
    <row r="15" spans="1:34">
      <c r="A15" s="33">
        <v>60</v>
      </c>
      <c r="B15" s="33" t="s">
        <v>45</v>
      </c>
      <c r="C15" s="34" t="s">
        <v>46</v>
      </c>
      <c r="D15" s="34" t="str">
        <f t="shared" si="3"/>
        <v>rokprognozy=2013 i lp=60</v>
      </c>
      <c r="E15" s="34" t="str">
        <f t="shared" si="4"/>
        <v>rokprognozy=2013 i lp=60</v>
      </c>
      <c r="F15" s="34" t="str">
        <f t="shared" si="4"/>
        <v>rokprognozy=2014 i lp=60</v>
      </c>
      <c r="G15" s="34" t="str">
        <f t="shared" si="4"/>
        <v>rokprognozy=2015 i lp=60</v>
      </c>
      <c r="H15" s="34" t="str">
        <f t="shared" si="4"/>
        <v>rokprognozy=2016 i lp=60</v>
      </c>
      <c r="I15" s="34" t="str">
        <f t="shared" si="4"/>
        <v>rokprognozy=2017 i lp=60</v>
      </c>
      <c r="J15" s="34" t="str">
        <f t="shared" si="4"/>
        <v>rokprognozy=2018 i lp=60</v>
      </c>
      <c r="K15" s="34" t="str">
        <f t="shared" si="4"/>
        <v>rokprognozy=2019 i lp=60</v>
      </c>
      <c r="L15" s="34" t="str">
        <f t="shared" si="4"/>
        <v>rokprognozy=2020 i lp=60</v>
      </c>
      <c r="M15" s="34" t="str">
        <f t="shared" si="4"/>
        <v>rokprognozy=2021 i lp=60</v>
      </c>
      <c r="N15" s="34" t="str">
        <f t="shared" si="1"/>
        <v>rokprognozy=2022 i lp=60</v>
      </c>
      <c r="O15" s="34" t="str">
        <f t="shared" si="1"/>
        <v>rokprognozy=2023 i lp=60</v>
      </c>
      <c r="P15" s="34" t="str">
        <f t="shared" si="1"/>
        <v>rokprognozy=2024 i lp=60</v>
      </c>
      <c r="Q15" s="34" t="str">
        <f t="shared" si="1"/>
        <v>rokprognozy=2025 i lp=60</v>
      </c>
      <c r="R15" s="34" t="str">
        <f t="shared" si="1"/>
        <v>rokprognozy=2026 i lp=60</v>
      </c>
      <c r="S15" s="34" t="str">
        <f t="shared" si="1"/>
        <v>rokprognozy=2027 i lp=60</v>
      </c>
      <c r="T15" s="34" t="str">
        <f t="shared" si="1"/>
        <v>rokprognozy=2028 i lp=60</v>
      </c>
      <c r="U15" s="34" t="str">
        <f t="shared" si="1"/>
        <v>rokprognozy=2029 i lp=60</v>
      </c>
      <c r="V15" s="34" t="str">
        <f t="shared" si="1"/>
        <v>rokprognozy=2030 i lp=60</v>
      </c>
      <c r="W15" s="34" t="str">
        <f t="shared" si="1"/>
        <v>rokprognozy=2031 i lp=60</v>
      </c>
      <c r="X15" s="34" t="str">
        <f t="shared" si="1"/>
        <v>rokprognozy=2032 i lp=60</v>
      </c>
      <c r="Y15" s="34" t="str">
        <f t="shared" si="1"/>
        <v>rokprognozy=2033 i lp=60</v>
      </c>
      <c r="Z15" s="34" t="str">
        <f t="shared" si="1"/>
        <v>rokprognozy=2034 i lp=60</v>
      </c>
      <c r="AA15" s="34" t="str">
        <f t="shared" si="1"/>
        <v>rokprognozy=2035 i lp=60</v>
      </c>
      <c r="AB15" s="34" t="str">
        <f t="shared" si="1"/>
        <v>rokprognozy=2036 i lp=60</v>
      </c>
      <c r="AC15" s="34" t="str">
        <f t="shared" si="1"/>
        <v>rokprognozy=2037 i lp=60</v>
      </c>
      <c r="AD15" s="34" t="str">
        <f t="shared" si="1"/>
        <v>rokprognozy=2038 i lp=60</v>
      </c>
      <c r="AE15" s="34" t="str">
        <f t="shared" si="1"/>
        <v>rokprognozy=2039 i lp=60</v>
      </c>
      <c r="AF15" s="34" t="str">
        <f t="shared" si="1"/>
        <v>rokprognozy=2040 i lp=60</v>
      </c>
      <c r="AG15" s="34" t="str">
        <f t="shared" si="1"/>
        <v>rokprognozy=2041 i lp=60</v>
      </c>
      <c r="AH15" s="34" t="str">
        <f t="shared" si="2"/>
        <v>rokprognozy=2042 i lp=60</v>
      </c>
    </row>
    <row r="16" spans="1:34">
      <c r="A16" s="33">
        <v>70</v>
      </c>
      <c r="B16" s="33" t="s">
        <v>47</v>
      </c>
      <c r="C16" s="34" t="s">
        <v>48</v>
      </c>
      <c r="D16" s="34" t="str">
        <f t="shared" si="3"/>
        <v>rokprognozy=2013 i lp=70</v>
      </c>
      <c r="E16" s="34" t="str">
        <f t="shared" si="4"/>
        <v>rokprognozy=2013 i lp=70</v>
      </c>
      <c r="F16" s="34" t="str">
        <f t="shared" si="4"/>
        <v>rokprognozy=2014 i lp=70</v>
      </c>
      <c r="G16" s="34" t="str">
        <f t="shared" si="4"/>
        <v>rokprognozy=2015 i lp=70</v>
      </c>
      <c r="H16" s="34" t="str">
        <f t="shared" si="4"/>
        <v>rokprognozy=2016 i lp=70</v>
      </c>
      <c r="I16" s="34" t="str">
        <f t="shared" si="4"/>
        <v>rokprognozy=2017 i lp=70</v>
      </c>
      <c r="J16" s="34" t="str">
        <f t="shared" si="4"/>
        <v>rokprognozy=2018 i lp=70</v>
      </c>
      <c r="K16" s="34" t="str">
        <f t="shared" si="4"/>
        <v>rokprognozy=2019 i lp=70</v>
      </c>
      <c r="L16" s="34" t="str">
        <f t="shared" si="4"/>
        <v>rokprognozy=2020 i lp=70</v>
      </c>
      <c r="M16" s="34" t="str">
        <f t="shared" si="4"/>
        <v>rokprognozy=2021 i lp=70</v>
      </c>
      <c r="N16" s="34" t="str">
        <f t="shared" si="1"/>
        <v>rokprognozy=2022 i lp=70</v>
      </c>
      <c r="O16" s="34" t="str">
        <f t="shared" si="1"/>
        <v>rokprognozy=2023 i lp=70</v>
      </c>
      <c r="P16" s="34" t="str">
        <f t="shared" si="1"/>
        <v>rokprognozy=2024 i lp=70</v>
      </c>
      <c r="Q16" s="34" t="str">
        <f t="shared" si="1"/>
        <v>rokprognozy=2025 i lp=70</v>
      </c>
      <c r="R16" s="34" t="str">
        <f t="shared" si="1"/>
        <v>rokprognozy=2026 i lp=70</v>
      </c>
      <c r="S16" s="34" t="str">
        <f t="shared" si="1"/>
        <v>rokprognozy=2027 i lp=70</v>
      </c>
      <c r="T16" s="34" t="str">
        <f t="shared" si="1"/>
        <v>rokprognozy=2028 i lp=70</v>
      </c>
      <c r="U16" s="34" t="str">
        <f t="shared" si="1"/>
        <v>rokprognozy=2029 i lp=70</v>
      </c>
      <c r="V16" s="34" t="str">
        <f t="shared" si="1"/>
        <v>rokprognozy=2030 i lp=70</v>
      </c>
      <c r="W16" s="34" t="str">
        <f t="shared" si="1"/>
        <v>rokprognozy=2031 i lp=70</v>
      </c>
      <c r="X16" s="34" t="str">
        <f t="shared" si="1"/>
        <v>rokprognozy=2032 i lp=70</v>
      </c>
      <c r="Y16" s="34" t="str">
        <f t="shared" si="1"/>
        <v>rokprognozy=2033 i lp=70</v>
      </c>
      <c r="Z16" s="34" t="str">
        <f t="shared" si="1"/>
        <v>rokprognozy=2034 i lp=70</v>
      </c>
      <c r="AA16" s="34" t="str">
        <f t="shared" si="1"/>
        <v>rokprognozy=2035 i lp=70</v>
      </c>
      <c r="AB16" s="34" t="str">
        <f t="shared" si="1"/>
        <v>rokprognozy=2036 i lp=70</v>
      </c>
      <c r="AC16" s="34" t="str">
        <f t="shared" si="1"/>
        <v>rokprognozy=2037 i lp=70</v>
      </c>
      <c r="AD16" s="34" t="str">
        <f t="shared" si="1"/>
        <v>rokprognozy=2038 i lp=70</v>
      </c>
      <c r="AE16" s="34" t="str">
        <f t="shared" si="1"/>
        <v>rokprognozy=2039 i lp=70</v>
      </c>
      <c r="AF16" s="34" t="str">
        <f t="shared" si="1"/>
        <v>rokprognozy=2040 i lp=70</v>
      </c>
      <c r="AG16" s="34" t="str">
        <f t="shared" si="1"/>
        <v>rokprognozy=2041 i lp=70</v>
      </c>
      <c r="AH16" s="34" t="str">
        <f t="shared" si="2"/>
        <v>rokprognozy=2042 i lp=70</v>
      </c>
    </row>
    <row r="17" spans="1:34">
      <c r="A17" s="33">
        <v>80</v>
      </c>
      <c r="B17" s="33" t="s">
        <v>49</v>
      </c>
      <c r="C17" s="34" t="s">
        <v>50</v>
      </c>
      <c r="D17" s="34" t="str">
        <f t="shared" si="3"/>
        <v>rokprognozy=2013 i lp=80</v>
      </c>
      <c r="E17" s="34" t="str">
        <f t="shared" si="4"/>
        <v>rokprognozy=2013 i lp=80</v>
      </c>
      <c r="F17" s="34" t="str">
        <f t="shared" si="4"/>
        <v>rokprognozy=2014 i lp=80</v>
      </c>
      <c r="G17" s="34" t="str">
        <f t="shared" si="4"/>
        <v>rokprognozy=2015 i lp=80</v>
      </c>
      <c r="H17" s="34" t="str">
        <f t="shared" si="4"/>
        <v>rokprognozy=2016 i lp=80</v>
      </c>
      <c r="I17" s="34" t="str">
        <f t="shared" si="4"/>
        <v>rokprognozy=2017 i lp=80</v>
      </c>
      <c r="J17" s="34" t="str">
        <f t="shared" si="4"/>
        <v>rokprognozy=2018 i lp=80</v>
      </c>
      <c r="K17" s="34" t="str">
        <f t="shared" si="4"/>
        <v>rokprognozy=2019 i lp=80</v>
      </c>
      <c r="L17" s="34" t="str">
        <f t="shared" si="4"/>
        <v>rokprognozy=2020 i lp=80</v>
      </c>
      <c r="M17" s="34" t="str">
        <f t="shared" si="4"/>
        <v>rokprognozy=2021 i lp=80</v>
      </c>
      <c r="N17" s="34" t="str">
        <f t="shared" si="1"/>
        <v>rokprognozy=2022 i lp=80</v>
      </c>
      <c r="O17" s="34" t="str">
        <f t="shared" si="1"/>
        <v>rokprognozy=2023 i lp=80</v>
      </c>
      <c r="P17" s="34" t="str">
        <f t="shared" si="1"/>
        <v>rokprognozy=2024 i lp=80</v>
      </c>
      <c r="Q17" s="34" t="str">
        <f t="shared" si="1"/>
        <v>rokprognozy=2025 i lp=80</v>
      </c>
      <c r="R17" s="34" t="str">
        <f t="shared" si="1"/>
        <v>rokprognozy=2026 i lp=80</v>
      </c>
      <c r="S17" s="34" t="str">
        <f t="shared" si="1"/>
        <v>rokprognozy=2027 i lp=80</v>
      </c>
      <c r="T17" s="34" t="str">
        <f t="shared" si="1"/>
        <v>rokprognozy=2028 i lp=80</v>
      </c>
      <c r="U17" s="34" t="str">
        <f t="shared" si="1"/>
        <v>rokprognozy=2029 i lp=80</v>
      </c>
      <c r="V17" s="34" t="str">
        <f t="shared" si="1"/>
        <v>rokprognozy=2030 i lp=80</v>
      </c>
      <c r="W17" s="34" t="str">
        <f t="shared" si="1"/>
        <v>rokprognozy=2031 i lp=80</v>
      </c>
      <c r="X17" s="34" t="str">
        <f t="shared" si="1"/>
        <v>rokprognozy=2032 i lp=80</v>
      </c>
      <c r="Y17" s="34" t="str">
        <f t="shared" si="1"/>
        <v>rokprognozy=2033 i lp=80</v>
      </c>
      <c r="Z17" s="34" t="str">
        <f t="shared" si="1"/>
        <v>rokprognozy=2034 i lp=80</v>
      </c>
      <c r="AA17" s="34" t="str">
        <f t="shared" si="1"/>
        <v>rokprognozy=2035 i lp=80</v>
      </c>
      <c r="AB17" s="34" t="str">
        <f t="shared" si="1"/>
        <v>rokprognozy=2036 i lp=80</v>
      </c>
      <c r="AC17" s="34" t="str">
        <f t="shared" si="1"/>
        <v>rokprognozy=2037 i lp=80</v>
      </c>
      <c r="AD17" s="34" t="str">
        <f t="shared" si="1"/>
        <v>rokprognozy=2038 i lp=80</v>
      </c>
      <c r="AE17" s="34" t="str">
        <f t="shared" si="1"/>
        <v>rokprognozy=2039 i lp=80</v>
      </c>
      <c r="AF17" s="34" t="str">
        <f t="shared" si="1"/>
        <v>rokprognozy=2040 i lp=80</v>
      </c>
      <c r="AG17" s="34" t="str">
        <f t="shared" si="1"/>
        <v>rokprognozy=2041 i lp=80</v>
      </c>
      <c r="AH17" s="34" t="str">
        <f t="shared" si="2"/>
        <v>rokprognozy=2042 i lp=80</v>
      </c>
    </row>
    <row r="18" spans="1:34">
      <c r="A18" s="33">
        <v>90</v>
      </c>
      <c r="B18" s="33">
        <v>1.2</v>
      </c>
      <c r="C18" s="34" t="s">
        <v>51</v>
      </c>
      <c r="D18" s="34" t="str">
        <f t="shared" si="3"/>
        <v>rokprognozy=2013 i lp=90</v>
      </c>
      <c r="E18" s="34" t="str">
        <f t="shared" si="4"/>
        <v>rokprognozy=2013 i lp=90</v>
      </c>
      <c r="F18" s="34" t="str">
        <f t="shared" si="4"/>
        <v>rokprognozy=2014 i lp=90</v>
      </c>
      <c r="G18" s="34" t="str">
        <f t="shared" si="4"/>
        <v>rokprognozy=2015 i lp=90</v>
      </c>
      <c r="H18" s="34" t="str">
        <f t="shared" si="4"/>
        <v>rokprognozy=2016 i lp=90</v>
      </c>
      <c r="I18" s="34" t="str">
        <f t="shared" si="4"/>
        <v>rokprognozy=2017 i lp=90</v>
      </c>
      <c r="J18" s="34" t="str">
        <f t="shared" si="4"/>
        <v>rokprognozy=2018 i lp=90</v>
      </c>
      <c r="K18" s="34" t="str">
        <f t="shared" si="4"/>
        <v>rokprognozy=2019 i lp=90</v>
      </c>
      <c r="L18" s="34" t="str">
        <f t="shared" si="4"/>
        <v>rokprognozy=2020 i lp=90</v>
      </c>
      <c r="M18" s="34" t="str">
        <f t="shared" si="4"/>
        <v>rokprognozy=2021 i lp=90</v>
      </c>
      <c r="N18" s="34" t="str">
        <f t="shared" si="1"/>
        <v>rokprognozy=2022 i lp=90</v>
      </c>
      <c r="O18" s="34" t="str">
        <f t="shared" si="1"/>
        <v>rokprognozy=2023 i lp=90</v>
      </c>
      <c r="P18" s="34" t="str">
        <f t="shared" si="1"/>
        <v>rokprognozy=2024 i lp=90</v>
      </c>
      <c r="Q18" s="34" t="str">
        <f t="shared" si="1"/>
        <v>rokprognozy=2025 i lp=90</v>
      </c>
      <c r="R18" s="34" t="str">
        <f t="shared" si="1"/>
        <v>rokprognozy=2026 i lp=90</v>
      </c>
      <c r="S18" s="34" t="str">
        <f t="shared" si="1"/>
        <v>rokprognozy=2027 i lp=90</v>
      </c>
      <c r="T18" s="34" t="str">
        <f t="shared" si="1"/>
        <v>rokprognozy=2028 i lp=90</v>
      </c>
      <c r="U18" s="34" t="str">
        <f t="shared" si="1"/>
        <v>rokprognozy=2029 i lp=90</v>
      </c>
      <c r="V18" s="34" t="str">
        <f t="shared" si="1"/>
        <v>rokprognozy=2030 i lp=90</v>
      </c>
      <c r="W18" s="34" t="str">
        <f t="shared" si="1"/>
        <v>rokprognozy=2031 i lp=90</v>
      </c>
      <c r="X18" s="34" t="str">
        <f t="shared" si="1"/>
        <v>rokprognozy=2032 i lp=90</v>
      </c>
      <c r="Y18" s="34" t="str">
        <f t="shared" si="1"/>
        <v>rokprognozy=2033 i lp=90</v>
      </c>
      <c r="Z18" s="34" t="str">
        <f t="shared" si="1"/>
        <v>rokprognozy=2034 i lp=90</v>
      </c>
      <c r="AA18" s="34" t="str">
        <f t="shared" si="1"/>
        <v>rokprognozy=2035 i lp=90</v>
      </c>
      <c r="AB18" s="34" t="str">
        <f t="shared" si="1"/>
        <v>rokprognozy=2036 i lp=90</v>
      </c>
      <c r="AC18" s="34" t="str">
        <f t="shared" si="1"/>
        <v>rokprognozy=2037 i lp=90</v>
      </c>
      <c r="AD18" s="34" t="str">
        <f t="shared" si="1"/>
        <v>rokprognozy=2038 i lp=90</v>
      </c>
      <c r="AE18" s="34" t="str">
        <f t="shared" si="1"/>
        <v>rokprognozy=2039 i lp=90</v>
      </c>
      <c r="AF18" s="34" t="str">
        <f t="shared" si="1"/>
        <v>rokprognozy=2040 i lp=90</v>
      </c>
      <c r="AG18" s="34" t="str">
        <f t="shared" si="1"/>
        <v>rokprognozy=2041 i lp=90</v>
      </c>
      <c r="AH18" s="34" t="str">
        <f t="shared" si="2"/>
        <v>rokprognozy=2042 i lp=90</v>
      </c>
    </row>
    <row r="19" spans="1:34">
      <c r="A19" s="33">
        <v>100</v>
      </c>
      <c r="B19" s="33" t="s">
        <v>52</v>
      </c>
      <c r="C19" s="34" t="s">
        <v>53</v>
      </c>
      <c r="D19" s="34" t="str">
        <f t="shared" si="3"/>
        <v>rokprognozy=2013 i lp=100</v>
      </c>
      <c r="E19" s="34" t="str">
        <f t="shared" si="4"/>
        <v>rokprognozy=2013 i lp=100</v>
      </c>
      <c r="F19" s="34" t="str">
        <f t="shared" si="4"/>
        <v>rokprognozy=2014 i lp=100</v>
      </c>
      <c r="G19" s="34" t="str">
        <f t="shared" si="4"/>
        <v>rokprognozy=2015 i lp=100</v>
      </c>
      <c r="H19" s="34" t="str">
        <f t="shared" si="4"/>
        <v>rokprognozy=2016 i lp=100</v>
      </c>
      <c r="I19" s="34" t="str">
        <f t="shared" si="4"/>
        <v>rokprognozy=2017 i lp=100</v>
      </c>
      <c r="J19" s="34" t="str">
        <f t="shared" si="4"/>
        <v>rokprognozy=2018 i lp=100</v>
      </c>
      <c r="K19" s="34" t="str">
        <f t="shared" si="4"/>
        <v>rokprognozy=2019 i lp=100</v>
      </c>
      <c r="L19" s="34" t="str">
        <f t="shared" si="4"/>
        <v>rokprognozy=2020 i lp=100</v>
      </c>
      <c r="M19" s="34" t="str">
        <f t="shared" si="4"/>
        <v>rokprognozy=2021 i lp=100</v>
      </c>
      <c r="N19" s="34" t="str">
        <f t="shared" si="1"/>
        <v>rokprognozy=2022 i lp=100</v>
      </c>
      <c r="O19" s="34" t="str">
        <f t="shared" si="1"/>
        <v>rokprognozy=2023 i lp=100</v>
      </c>
      <c r="P19" s="34" t="str">
        <f t="shared" si="1"/>
        <v>rokprognozy=2024 i lp=100</v>
      </c>
      <c r="Q19" s="34" t="str">
        <f t="shared" si="1"/>
        <v>rokprognozy=2025 i lp=100</v>
      </c>
      <c r="R19" s="34" t="str">
        <f t="shared" si="1"/>
        <v>rokprognozy=2026 i lp=100</v>
      </c>
      <c r="S19" s="34" t="str">
        <f t="shared" si="1"/>
        <v>rokprognozy=2027 i lp=100</v>
      </c>
      <c r="T19" s="34" t="str">
        <f t="shared" si="1"/>
        <v>rokprognozy=2028 i lp=100</v>
      </c>
      <c r="U19" s="34" t="str">
        <f t="shared" si="1"/>
        <v>rokprognozy=2029 i lp=100</v>
      </c>
      <c r="V19" s="34" t="str">
        <f t="shared" si="1"/>
        <v>rokprognozy=2030 i lp=100</v>
      </c>
      <c r="W19" s="34" t="str">
        <f t="shared" si="1"/>
        <v>rokprognozy=2031 i lp=100</v>
      </c>
      <c r="X19" s="34" t="str">
        <f t="shared" si="1"/>
        <v>rokprognozy=2032 i lp=100</v>
      </c>
      <c r="Y19" s="34" t="str">
        <f t="shared" si="1"/>
        <v>rokprognozy=2033 i lp=100</v>
      </c>
      <c r="Z19" s="34" t="str">
        <f t="shared" si="1"/>
        <v>rokprognozy=2034 i lp=100</v>
      </c>
      <c r="AA19" s="34" t="str">
        <f t="shared" si="1"/>
        <v>rokprognozy=2035 i lp=100</v>
      </c>
      <c r="AB19" s="34" t="str">
        <f t="shared" si="1"/>
        <v>rokprognozy=2036 i lp=100</v>
      </c>
      <c r="AC19" s="34" t="str">
        <f t="shared" si="1"/>
        <v>rokprognozy=2037 i lp=100</v>
      </c>
      <c r="AD19" s="34" t="str">
        <f t="shared" si="1"/>
        <v>rokprognozy=2038 i lp=100</v>
      </c>
      <c r="AE19" s="34" t="str">
        <f t="shared" si="1"/>
        <v>rokprognozy=2039 i lp=100</v>
      </c>
      <c r="AF19" s="34" t="str">
        <f t="shared" si="1"/>
        <v>rokprognozy=2040 i lp=100</v>
      </c>
      <c r="AG19" s="34" t="str">
        <f t="shared" si="1"/>
        <v>rokprognozy=2041 i lp=100</v>
      </c>
      <c r="AH19" s="34" t="str">
        <f t="shared" si="2"/>
        <v>rokprognozy=2042 i lp=100</v>
      </c>
    </row>
    <row r="20" spans="1:34">
      <c r="A20" s="33">
        <v>110</v>
      </c>
      <c r="B20" s="33" t="s">
        <v>54</v>
      </c>
      <c r="C20" s="34" t="s">
        <v>55</v>
      </c>
      <c r="D20" s="34" t="str">
        <f t="shared" si="3"/>
        <v>rokprognozy=2013 i lp=110</v>
      </c>
      <c r="E20" s="34" t="str">
        <f t="shared" si="4"/>
        <v>rokprognozy=2013 i lp=110</v>
      </c>
      <c r="F20" s="34" t="str">
        <f t="shared" si="4"/>
        <v>rokprognozy=2014 i lp=110</v>
      </c>
      <c r="G20" s="34" t="str">
        <f t="shared" si="4"/>
        <v>rokprognozy=2015 i lp=110</v>
      </c>
      <c r="H20" s="34" t="str">
        <f t="shared" si="4"/>
        <v>rokprognozy=2016 i lp=110</v>
      </c>
      <c r="I20" s="34" t="str">
        <f t="shared" si="4"/>
        <v>rokprognozy=2017 i lp=110</v>
      </c>
      <c r="J20" s="34" t="str">
        <f t="shared" si="4"/>
        <v>rokprognozy=2018 i lp=110</v>
      </c>
      <c r="K20" s="34" t="str">
        <f t="shared" si="4"/>
        <v>rokprognozy=2019 i lp=110</v>
      </c>
      <c r="L20" s="34" t="str">
        <f t="shared" si="4"/>
        <v>rokprognozy=2020 i lp=110</v>
      </c>
      <c r="M20" s="34" t="str">
        <f t="shared" si="4"/>
        <v>rokprognozy=2021 i lp=110</v>
      </c>
      <c r="N20" s="34" t="str">
        <f t="shared" si="1"/>
        <v>rokprognozy=2022 i lp=110</v>
      </c>
      <c r="O20" s="34" t="str">
        <f t="shared" si="1"/>
        <v>rokprognozy=2023 i lp=110</v>
      </c>
      <c r="P20" s="34" t="str">
        <f t="shared" si="1"/>
        <v>rokprognozy=2024 i lp=110</v>
      </c>
      <c r="Q20" s="34" t="str">
        <f t="shared" si="1"/>
        <v>rokprognozy=2025 i lp=110</v>
      </c>
      <c r="R20" s="34" t="str">
        <f t="shared" si="1"/>
        <v>rokprognozy=2026 i lp=110</v>
      </c>
      <c r="S20" s="34" t="str">
        <f t="shared" si="1"/>
        <v>rokprognozy=2027 i lp=110</v>
      </c>
      <c r="T20" s="34" t="str">
        <f t="shared" si="1"/>
        <v>rokprognozy=2028 i lp=110</v>
      </c>
      <c r="U20" s="34" t="str">
        <f t="shared" si="1"/>
        <v>rokprognozy=2029 i lp=110</v>
      </c>
      <c r="V20" s="34" t="str">
        <f t="shared" si="1"/>
        <v>rokprognozy=2030 i lp=110</v>
      </c>
      <c r="W20" s="34" t="str">
        <f t="shared" si="1"/>
        <v>rokprognozy=2031 i lp=110</v>
      </c>
      <c r="X20" s="34" t="str">
        <f t="shared" si="1"/>
        <v>rokprognozy=2032 i lp=110</v>
      </c>
      <c r="Y20" s="34" t="str">
        <f t="shared" si="1"/>
        <v>rokprognozy=2033 i lp=110</v>
      </c>
      <c r="Z20" s="34" t="str">
        <f t="shared" si="1"/>
        <v>rokprognozy=2034 i lp=110</v>
      </c>
      <c r="AA20" s="34" t="str">
        <f t="shared" si="1"/>
        <v>rokprognozy=2035 i lp=110</v>
      </c>
      <c r="AB20" s="34" t="str">
        <f t="shared" si="1"/>
        <v>rokprognozy=2036 i lp=110</v>
      </c>
      <c r="AC20" s="34" t="str">
        <f t="shared" si="1"/>
        <v>rokprognozy=2037 i lp=110</v>
      </c>
      <c r="AD20" s="34" t="str">
        <f t="shared" si="1"/>
        <v>rokprognozy=2038 i lp=110</v>
      </c>
      <c r="AE20" s="34" t="str">
        <f t="shared" si="1"/>
        <v>rokprognozy=2039 i lp=110</v>
      </c>
      <c r="AF20" s="34" t="str">
        <f t="shared" si="1"/>
        <v>rokprognozy=2040 i lp=110</v>
      </c>
      <c r="AG20" s="34" t="str">
        <f t="shared" si="1"/>
        <v>rokprognozy=2041 i lp=110</v>
      </c>
      <c r="AH20" s="34" t="str">
        <f t="shared" si="2"/>
        <v>rokprognozy=2042 i lp=110</v>
      </c>
    </row>
    <row r="21" spans="1:34">
      <c r="A21" s="33">
        <v>120</v>
      </c>
      <c r="B21" s="33">
        <v>2</v>
      </c>
      <c r="C21" s="34" t="s">
        <v>19</v>
      </c>
      <c r="D21" s="34" t="str">
        <f t="shared" si="3"/>
        <v>rokprognozy=2013 i lp=120</v>
      </c>
      <c r="E21" s="34" t="str">
        <f t="shared" si="4"/>
        <v>rokprognozy=2013 i lp=120</v>
      </c>
      <c r="F21" s="34" t="str">
        <f t="shared" si="4"/>
        <v>rokprognozy=2014 i lp=120</v>
      </c>
      <c r="G21" s="34" t="str">
        <f t="shared" si="4"/>
        <v>rokprognozy=2015 i lp=120</v>
      </c>
      <c r="H21" s="34" t="str">
        <f t="shared" si="4"/>
        <v>rokprognozy=2016 i lp=120</v>
      </c>
      <c r="I21" s="34" t="str">
        <f t="shared" si="4"/>
        <v>rokprognozy=2017 i lp=120</v>
      </c>
      <c r="J21" s="34" t="str">
        <f t="shared" si="4"/>
        <v>rokprognozy=2018 i lp=120</v>
      </c>
      <c r="K21" s="34" t="str">
        <f t="shared" si="4"/>
        <v>rokprognozy=2019 i lp=120</v>
      </c>
      <c r="L21" s="34" t="str">
        <f t="shared" si="4"/>
        <v>rokprognozy=2020 i lp=120</v>
      </c>
      <c r="M21" s="34" t="str">
        <f t="shared" si="4"/>
        <v>rokprognozy=2021 i lp=120</v>
      </c>
      <c r="N21" s="34" t="str">
        <f t="shared" si="1"/>
        <v>rokprognozy=2022 i lp=120</v>
      </c>
      <c r="O21" s="34" t="str">
        <f t="shared" si="1"/>
        <v>rokprognozy=2023 i lp=120</v>
      </c>
      <c r="P21" s="34" t="str">
        <f t="shared" si="1"/>
        <v>rokprognozy=2024 i lp=120</v>
      </c>
      <c r="Q21" s="34" t="str">
        <f t="shared" si="1"/>
        <v>rokprognozy=2025 i lp=120</v>
      </c>
      <c r="R21" s="34" t="str">
        <f t="shared" si="1"/>
        <v>rokprognozy=2026 i lp=120</v>
      </c>
      <c r="S21" s="34" t="str">
        <f t="shared" si="1"/>
        <v>rokprognozy=2027 i lp=120</v>
      </c>
      <c r="T21" s="34" t="str">
        <f t="shared" si="1"/>
        <v>rokprognozy=2028 i lp=120</v>
      </c>
      <c r="U21" s="34" t="str">
        <f t="shared" si="1"/>
        <v>rokprognozy=2029 i lp=120</v>
      </c>
      <c r="V21" s="34" t="str">
        <f t="shared" si="1"/>
        <v>rokprognozy=2030 i lp=120</v>
      </c>
      <c r="W21" s="34" t="str">
        <f t="shared" si="1"/>
        <v>rokprognozy=2031 i lp=120</v>
      </c>
      <c r="X21" s="34" t="str">
        <f t="shared" si="1"/>
        <v>rokprognozy=2032 i lp=120</v>
      </c>
      <c r="Y21" s="34" t="str">
        <f t="shared" si="1"/>
        <v>rokprognozy=2033 i lp=120</v>
      </c>
      <c r="Z21" s="34" t="str">
        <f t="shared" si="1"/>
        <v>rokprognozy=2034 i lp=120</v>
      </c>
      <c r="AA21" s="34" t="str">
        <f t="shared" si="1"/>
        <v>rokprognozy=2035 i lp=120</v>
      </c>
      <c r="AB21" s="34" t="str">
        <f t="shared" si="1"/>
        <v>rokprognozy=2036 i lp=120</v>
      </c>
      <c r="AC21" s="34" t="str">
        <f t="shared" si="1"/>
        <v>rokprognozy=2037 i lp=120</v>
      </c>
      <c r="AD21" s="34" t="str">
        <f t="shared" si="1"/>
        <v>rokprognozy=2038 i lp=120</v>
      </c>
      <c r="AE21" s="34" t="str">
        <f t="shared" si="1"/>
        <v>rokprognozy=2039 i lp=120</v>
      </c>
      <c r="AF21" s="34" t="str">
        <f t="shared" si="1"/>
        <v>rokprognozy=2040 i lp=120</v>
      </c>
      <c r="AG21" s="34" t="str">
        <f t="shared" si="1"/>
        <v>rokprognozy=2041 i lp=120</v>
      </c>
      <c r="AH21" s="34" t="str">
        <f t="shared" si="2"/>
        <v>rokprognozy=2042 i lp=120</v>
      </c>
    </row>
    <row r="22" spans="1:34">
      <c r="A22" s="33">
        <v>130</v>
      </c>
      <c r="B22" s="33">
        <v>2.1</v>
      </c>
      <c r="C22" s="34" t="s">
        <v>56</v>
      </c>
      <c r="D22" s="34" t="str">
        <f t="shared" si="3"/>
        <v>rokprognozy=2013 i lp=130</v>
      </c>
      <c r="E22" s="34" t="str">
        <f t="shared" si="4"/>
        <v>rokprognozy=2013 i lp=130</v>
      </c>
      <c r="F22" s="34" t="str">
        <f t="shared" si="4"/>
        <v>rokprognozy=2014 i lp=130</v>
      </c>
      <c r="G22" s="34" t="str">
        <f t="shared" si="4"/>
        <v>rokprognozy=2015 i lp=130</v>
      </c>
      <c r="H22" s="34" t="str">
        <f t="shared" si="4"/>
        <v>rokprognozy=2016 i lp=130</v>
      </c>
      <c r="I22" s="34" t="str">
        <f t="shared" si="4"/>
        <v>rokprognozy=2017 i lp=130</v>
      </c>
      <c r="J22" s="34" t="str">
        <f t="shared" si="4"/>
        <v>rokprognozy=2018 i lp=130</v>
      </c>
      <c r="K22" s="34" t="str">
        <f t="shared" si="4"/>
        <v>rokprognozy=2019 i lp=130</v>
      </c>
      <c r="L22" s="34" t="str">
        <f t="shared" si="4"/>
        <v>rokprognozy=2020 i lp=130</v>
      </c>
      <c r="M22" s="34" t="str">
        <f t="shared" si="4"/>
        <v>rokprognozy=2021 i lp=130</v>
      </c>
      <c r="N22" s="34" t="str">
        <f t="shared" si="1"/>
        <v>rokprognozy=2022 i lp=130</v>
      </c>
      <c r="O22" s="34" t="str">
        <f t="shared" si="1"/>
        <v>rokprognozy=2023 i lp=130</v>
      </c>
      <c r="P22" s="34" t="str">
        <f t="shared" si="1"/>
        <v>rokprognozy=2024 i lp=130</v>
      </c>
      <c r="Q22" s="34" t="str">
        <f t="shared" si="1"/>
        <v>rokprognozy=2025 i lp=130</v>
      </c>
      <c r="R22" s="34" t="str">
        <f t="shared" si="1"/>
        <v>rokprognozy=2026 i lp=130</v>
      </c>
      <c r="S22" s="34" t="str">
        <f t="shared" si="1"/>
        <v>rokprognozy=2027 i lp=130</v>
      </c>
      <c r="T22" s="34" t="str">
        <f t="shared" ref="T22:AH22" si="5">+"rokprognozy="&amp;T$9&amp;" i lp="&amp;$A22</f>
        <v>rokprognozy=2028 i lp=130</v>
      </c>
      <c r="U22" s="34" t="str">
        <f t="shared" si="5"/>
        <v>rokprognozy=2029 i lp=130</v>
      </c>
      <c r="V22" s="34" t="str">
        <f t="shared" si="5"/>
        <v>rokprognozy=2030 i lp=130</v>
      </c>
      <c r="W22" s="34" t="str">
        <f t="shared" si="5"/>
        <v>rokprognozy=2031 i lp=130</v>
      </c>
      <c r="X22" s="34" t="str">
        <f t="shared" si="5"/>
        <v>rokprognozy=2032 i lp=130</v>
      </c>
      <c r="Y22" s="34" t="str">
        <f t="shared" si="5"/>
        <v>rokprognozy=2033 i lp=130</v>
      </c>
      <c r="Z22" s="34" t="str">
        <f t="shared" si="5"/>
        <v>rokprognozy=2034 i lp=130</v>
      </c>
      <c r="AA22" s="34" t="str">
        <f t="shared" si="5"/>
        <v>rokprognozy=2035 i lp=130</v>
      </c>
      <c r="AB22" s="34" t="str">
        <f t="shared" si="5"/>
        <v>rokprognozy=2036 i lp=130</v>
      </c>
      <c r="AC22" s="34" t="str">
        <f t="shared" si="5"/>
        <v>rokprognozy=2037 i lp=130</v>
      </c>
      <c r="AD22" s="34" t="str">
        <f t="shared" si="5"/>
        <v>rokprognozy=2038 i lp=130</v>
      </c>
      <c r="AE22" s="34" t="str">
        <f t="shared" si="5"/>
        <v>rokprognozy=2039 i lp=130</v>
      </c>
      <c r="AF22" s="34" t="str">
        <f t="shared" si="5"/>
        <v>rokprognozy=2040 i lp=130</v>
      </c>
      <c r="AG22" s="34" t="str">
        <f t="shared" si="5"/>
        <v>rokprognozy=2041 i lp=130</v>
      </c>
      <c r="AH22" s="34" t="str">
        <f t="shared" si="5"/>
        <v>rokprognozy=2042 i lp=130</v>
      </c>
    </row>
    <row r="23" spans="1:34">
      <c r="A23" s="33">
        <v>140</v>
      </c>
      <c r="B23" s="33" t="s">
        <v>57</v>
      </c>
      <c r="C23" s="34" t="s">
        <v>58</v>
      </c>
      <c r="D23" s="34" t="str">
        <f t="shared" si="3"/>
        <v>rokprognozy=2013 i lp=140</v>
      </c>
      <c r="E23" s="34" t="str">
        <f t="shared" si="4"/>
        <v>rokprognozy=2013 i lp=140</v>
      </c>
      <c r="F23" s="34" t="str">
        <f t="shared" si="4"/>
        <v>rokprognozy=2014 i lp=140</v>
      </c>
      <c r="G23" s="34" t="str">
        <f t="shared" si="4"/>
        <v>rokprognozy=2015 i lp=140</v>
      </c>
      <c r="H23" s="34" t="str">
        <f t="shared" si="4"/>
        <v>rokprognozy=2016 i lp=140</v>
      </c>
      <c r="I23" s="34" t="str">
        <f t="shared" si="4"/>
        <v>rokprognozy=2017 i lp=140</v>
      </c>
      <c r="J23" s="34" t="str">
        <f t="shared" si="4"/>
        <v>rokprognozy=2018 i lp=140</v>
      </c>
      <c r="K23" s="34" t="str">
        <f t="shared" si="4"/>
        <v>rokprognozy=2019 i lp=140</v>
      </c>
      <c r="L23" s="34" t="str">
        <f t="shared" si="4"/>
        <v>rokprognozy=2020 i lp=140</v>
      </c>
      <c r="M23" s="34" t="str">
        <f t="shared" si="4"/>
        <v>rokprognozy=2021 i lp=140</v>
      </c>
      <c r="N23" s="34" t="str">
        <f t="shared" ref="N23:AC38" si="6">+"rokprognozy="&amp;N$9&amp;" i lp="&amp;$A23</f>
        <v>rokprognozy=2022 i lp=140</v>
      </c>
      <c r="O23" s="34" t="str">
        <f t="shared" si="6"/>
        <v>rokprognozy=2023 i lp=140</v>
      </c>
      <c r="P23" s="34" t="str">
        <f t="shared" si="6"/>
        <v>rokprognozy=2024 i lp=140</v>
      </c>
      <c r="Q23" s="34" t="str">
        <f t="shared" si="6"/>
        <v>rokprognozy=2025 i lp=140</v>
      </c>
      <c r="R23" s="34" t="str">
        <f t="shared" si="6"/>
        <v>rokprognozy=2026 i lp=140</v>
      </c>
      <c r="S23" s="34" t="str">
        <f t="shared" si="6"/>
        <v>rokprognozy=2027 i lp=140</v>
      </c>
      <c r="T23" s="34" t="str">
        <f t="shared" si="6"/>
        <v>rokprognozy=2028 i lp=140</v>
      </c>
      <c r="U23" s="34" t="str">
        <f t="shared" si="6"/>
        <v>rokprognozy=2029 i lp=140</v>
      </c>
      <c r="V23" s="34" t="str">
        <f t="shared" si="6"/>
        <v>rokprognozy=2030 i lp=140</v>
      </c>
      <c r="W23" s="34" t="str">
        <f t="shared" si="6"/>
        <v>rokprognozy=2031 i lp=140</v>
      </c>
      <c r="X23" s="34" t="str">
        <f t="shared" si="6"/>
        <v>rokprognozy=2032 i lp=140</v>
      </c>
      <c r="Y23" s="34" t="str">
        <f t="shared" si="6"/>
        <v>rokprognozy=2033 i lp=140</v>
      </c>
      <c r="Z23" s="34" t="str">
        <f t="shared" si="6"/>
        <v>rokprognozy=2034 i lp=140</v>
      </c>
      <c r="AA23" s="34" t="str">
        <f t="shared" si="6"/>
        <v>rokprognozy=2035 i lp=140</v>
      </c>
      <c r="AB23" s="34" t="str">
        <f t="shared" si="6"/>
        <v>rokprognozy=2036 i lp=140</v>
      </c>
      <c r="AC23" s="34" t="str">
        <f t="shared" si="6"/>
        <v>rokprognozy=2037 i lp=140</v>
      </c>
      <c r="AD23" s="34" t="str">
        <f t="shared" ref="AD23:AH39" si="7">+"rokprognozy="&amp;AD$9&amp;" i lp="&amp;$A23</f>
        <v>rokprognozy=2038 i lp=140</v>
      </c>
      <c r="AE23" s="34" t="str">
        <f t="shared" si="7"/>
        <v>rokprognozy=2039 i lp=140</v>
      </c>
      <c r="AF23" s="34" t="str">
        <f t="shared" si="7"/>
        <v>rokprognozy=2040 i lp=140</v>
      </c>
      <c r="AG23" s="34" t="str">
        <f t="shared" si="7"/>
        <v>rokprognozy=2041 i lp=140</v>
      </c>
      <c r="AH23" s="34" t="str">
        <f t="shared" si="7"/>
        <v>rokprognozy=2042 i lp=140</v>
      </c>
    </row>
    <row r="24" spans="1:34">
      <c r="A24" s="33">
        <v>150</v>
      </c>
      <c r="B24" s="33" t="s">
        <v>59</v>
      </c>
      <c r="C24" s="34" t="s">
        <v>60</v>
      </c>
      <c r="D24" s="34" t="str">
        <f t="shared" si="3"/>
        <v>rokprognozy=2013 i lp=150</v>
      </c>
      <c r="E24" s="34" t="str">
        <f t="shared" si="4"/>
        <v>rokprognozy=2013 i lp=150</v>
      </c>
      <c r="F24" s="34" t="str">
        <f t="shared" si="4"/>
        <v>rokprognozy=2014 i lp=150</v>
      </c>
      <c r="G24" s="34" t="str">
        <f t="shared" si="4"/>
        <v>rokprognozy=2015 i lp=150</v>
      </c>
      <c r="H24" s="34" t="str">
        <f t="shared" si="4"/>
        <v>rokprognozy=2016 i lp=150</v>
      </c>
      <c r="I24" s="34" t="str">
        <f t="shared" si="4"/>
        <v>rokprognozy=2017 i lp=150</v>
      </c>
      <c r="J24" s="34" t="str">
        <f t="shared" si="4"/>
        <v>rokprognozy=2018 i lp=150</v>
      </c>
      <c r="K24" s="34" t="str">
        <f t="shared" si="4"/>
        <v>rokprognozy=2019 i lp=150</v>
      </c>
      <c r="L24" s="34" t="str">
        <f t="shared" si="4"/>
        <v>rokprognozy=2020 i lp=150</v>
      </c>
      <c r="M24" s="34" t="str">
        <f t="shared" si="4"/>
        <v>rokprognozy=2021 i lp=150</v>
      </c>
      <c r="N24" s="34" t="str">
        <f t="shared" si="6"/>
        <v>rokprognozy=2022 i lp=150</v>
      </c>
      <c r="O24" s="34" t="str">
        <f t="shared" si="6"/>
        <v>rokprognozy=2023 i lp=150</v>
      </c>
      <c r="P24" s="34" t="str">
        <f t="shared" si="6"/>
        <v>rokprognozy=2024 i lp=150</v>
      </c>
      <c r="Q24" s="34" t="str">
        <f t="shared" si="6"/>
        <v>rokprognozy=2025 i lp=150</v>
      </c>
      <c r="R24" s="34" t="str">
        <f t="shared" si="6"/>
        <v>rokprognozy=2026 i lp=150</v>
      </c>
      <c r="S24" s="34" t="str">
        <f t="shared" si="6"/>
        <v>rokprognozy=2027 i lp=150</v>
      </c>
      <c r="T24" s="34" t="str">
        <f t="shared" si="6"/>
        <v>rokprognozy=2028 i lp=150</v>
      </c>
      <c r="U24" s="34" t="str">
        <f t="shared" si="6"/>
        <v>rokprognozy=2029 i lp=150</v>
      </c>
      <c r="V24" s="34" t="str">
        <f t="shared" si="6"/>
        <v>rokprognozy=2030 i lp=150</v>
      </c>
      <c r="W24" s="34" t="str">
        <f t="shared" si="6"/>
        <v>rokprognozy=2031 i lp=150</v>
      </c>
      <c r="X24" s="34" t="str">
        <f t="shared" si="6"/>
        <v>rokprognozy=2032 i lp=150</v>
      </c>
      <c r="Y24" s="34" t="str">
        <f t="shared" si="6"/>
        <v>rokprognozy=2033 i lp=150</v>
      </c>
      <c r="Z24" s="34" t="str">
        <f t="shared" si="6"/>
        <v>rokprognozy=2034 i lp=150</v>
      </c>
      <c r="AA24" s="34" t="str">
        <f t="shared" si="6"/>
        <v>rokprognozy=2035 i lp=150</v>
      </c>
      <c r="AB24" s="34" t="str">
        <f t="shared" si="6"/>
        <v>rokprognozy=2036 i lp=150</v>
      </c>
      <c r="AC24" s="34" t="str">
        <f t="shared" si="6"/>
        <v>rokprognozy=2037 i lp=150</v>
      </c>
      <c r="AD24" s="34" t="str">
        <f t="shared" si="7"/>
        <v>rokprognozy=2038 i lp=150</v>
      </c>
      <c r="AE24" s="34" t="str">
        <f t="shared" si="7"/>
        <v>rokprognozy=2039 i lp=150</v>
      </c>
      <c r="AF24" s="34" t="str">
        <f t="shared" si="7"/>
        <v>rokprognozy=2040 i lp=150</v>
      </c>
      <c r="AG24" s="34" t="str">
        <f t="shared" si="7"/>
        <v>rokprognozy=2041 i lp=150</v>
      </c>
      <c r="AH24" s="34" t="str">
        <f t="shared" si="7"/>
        <v>rokprognozy=2042 i lp=150</v>
      </c>
    </row>
    <row r="25" spans="1:34">
      <c r="A25" s="33">
        <v>160</v>
      </c>
      <c r="B25" s="33" t="s">
        <v>61</v>
      </c>
      <c r="C25" s="34" t="s">
        <v>62</v>
      </c>
      <c r="D25" s="34" t="str">
        <f t="shared" si="3"/>
        <v>rokprognozy=2013 i lp=160</v>
      </c>
      <c r="E25" s="34" t="str">
        <f t="shared" si="4"/>
        <v>rokprognozy=2013 i lp=160</v>
      </c>
      <c r="F25" s="34" t="str">
        <f t="shared" si="4"/>
        <v>rokprognozy=2014 i lp=160</v>
      </c>
      <c r="G25" s="34" t="str">
        <f t="shared" si="4"/>
        <v>rokprognozy=2015 i lp=160</v>
      </c>
      <c r="H25" s="34" t="str">
        <f t="shared" si="4"/>
        <v>rokprognozy=2016 i lp=160</v>
      </c>
      <c r="I25" s="34" t="str">
        <f t="shared" si="4"/>
        <v>rokprognozy=2017 i lp=160</v>
      </c>
      <c r="J25" s="34" t="str">
        <f t="shared" si="4"/>
        <v>rokprognozy=2018 i lp=160</v>
      </c>
      <c r="K25" s="34" t="str">
        <f t="shared" si="4"/>
        <v>rokprognozy=2019 i lp=160</v>
      </c>
      <c r="L25" s="34" t="str">
        <f t="shared" si="4"/>
        <v>rokprognozy=2020 i lp=160</v>
      </c>
      <c r="M25" s="34" t="str">
        <f t="shared" si="4"/>
        <v>rokprognozy=2021 i lp=160</v>
      </c>
      <c r="N25" s="34" t="str">
        <f t="shared" si="6"/>
        <v>rokprognozy=2022 i lp=160</v>
      </c>
      <c r="O25" s="34" t="str">
        <f t="shared" si="6"/>
        <v>rokprognozy=2023 i lp=160</v>
      </c>
      <c r="P25" s="34" t="str">
        <f t="shared" si="6"/>
        <v>rokprognozy=2024 i lp=160</v>
      </c>
      <c r="Q25" s="34" t="str">
        <f t="shared" si="6"/>
        <v>rokprognozy=2025 i lp=160</v>
      </c>
      <c r="R25" s="34" t="str">
        <f t="shared" si="6"/>
        <v>rokprognozy=2026 i lp=160</v>
      </c>
      <c r="S25" s="34" t="str">
        <f t="shared" si="6"/>
        <v>rokprognozy=2027 i lp=160</v>
      </c>
      <c r="T25" s="34" t="str">
        <f t="shared" si="6"/>
        <v>rokprognozy=2028 i lp=160</v>
      </c>
      <c r="U25" s="34" t="str">
        <f t="shared" si="6"/>
        <v>rokprognozy=2029 i lp=160</v>
      </c>
      <c r="V25" s="34" t="str">
        <f t="shared" si="6"/>
        <v>rokprognozy=2030 i lp=160</v>
      </c>
      <c r="W25" s="34" t="str">
        <f t="shared" si="6"/>
        <v>rokprognozy=2031 i lp=160</v>
      </c>
      <c r="X25" s="34" t="str">
        <f t="shared" si="6"/>
        <v>rokprognozy=2032 i lp=160</v>
      </c>
      <c r="Y25" s="34" t="str">
        <f t="shared" si="6"/>
        <v>rokprognozy=2033 i lp=160</v>
      </c>
      <c r="Z25" s="34" t="str">
        <f t="shared" si="6"/>
        <v>rokprognozy=2034 i lp=160</v>
      </c>
      <c r="AA25" s="34" t="str">
        <f t="shared" si="6"/>
        <v>rokprognozy=2035 i lp=160</v>
      </c>
      <c r="AB25" s="34" t="str">
        <f t="shared" si="6"/>
        <v>rokprognozy=2036 i lp=160</v>
      </c>
      <c r="AC25" s="34" t="str">
        <f t="shared" si="6"/>
        <v>rokprognozy=2037 i lp=160</v>
      </c>
      <c r="AD25" s="34" t="str">
        <f t="shared" si="7"/>
        <v>rokprognozy=2038 i lp=160</v>
      </c>
      <c r="AE25" s="34" t="str">
        <f t="shared" si="7"/>
        <v>rokprognozy=2039 i lp=160</v>
      </c>
      <c r="AF25" s="34" t="str">
        <f t="shared" si="7"/>
        <v>rokprognozy=2040 i lp=160</v>
      </c>
      <c r="AG25" s="34" t="str">
        <f t="shared" si="7"/>
        <v>rokprognozy=2041 i lp=160</v>
      </c>
      <c r="AH25" s="34" t="str">
        <f t="shared" si="7"/>
        <v>rokprognozy=2042 i lp=160</v>
      </c>
    </row>
    <row r="26" spans="1:34">
      <c r="A26" s="33">
        <v>170</v>
      </c>
      <c r="B26" s="33" t="s">
        <v>63</v>
      </c>
      <c r="C26" s="34" t="s">
        <v>64</v>
      </c>
      <c r="D26" s="34" t="str">
        <f t="shared" si="3"/>
        <v>rokprognozy=2013 i lp=170</v>
      </c>
      <c r="E26" s="34" t="str">
        <f t="shared" si="4"/>
        <v>rokprognozy=2013 i lp=170</v>
      </c>
      <c r="F26" s="34" t="str">
        <f t="shared" si="4"/>
        <v>rokprognozy=2014 i lp=170</v>
      </c>
      <c r="G26" s="34" t="str">
        <f t="shared" si="4"/>
        <v>rokprognozy=2015 i lp=170</v>
      </c>
      <c r="H26" s="34" t="str">
        <f t="shared" si="4"/>
        <v>rokprognozy=2016 i lp=170</v>
      </c>
      <c r="I26" s="34" t="str">
        <f t="shared" si="4"/>
        <v>rokprognozy=2017 i lp=170</v>
      </c>
      <c r="J26" s="34" t="str">
        <f t="shared" si="4"/>
        <v>rokprognozy=2018 i lp=170</v>
      </c>
      <c r="K26" s="34" t="str">
        <f t="shared" si="4"/>
        <v>rokprognozy=2019 i lp=170</v>
      </c>
      <c r="L26" s="34" t="str">
        <f t="shared" si="4"/>
        <v>rokprognozy=2020 i lp=170</v>
      </c>
      <c r="M26" s="34" t="str">
        <f t="shared" si="4"/>
        <v>rokprognozy=2021 i lp=170</v>
      </c>
      <c r="N26" s="34" t="str">
        <f t="shared" si="6"/>
        <v>rokprognozy=2022 i lp=170</v>
      </c>
      <c r="O26" s="34" t="str">
        <f t="shared" si="6"/>
        <v>rokprognozy=2023 i lp=170</v>
      </c>
      <c r="P26" s="34" t="str">
        <f t="shared" si="6"/>
        <v>rokprognozy=2024 i lp=170</v>
      </c>
      <c r="Q26" s="34" t="str">
        <f t="shared" si="6"/>
        <v>rokprognozy=2025 i lp=170</v>
      </c>
      <c r="R26" s="34" t="str">
        <f t="shared" si="6"/>
        <v>rokprognozy=2026 i lp=170</v>
      </c>
      <c r="S26" s="34" t="str">
        <f t="shared" si="6"/>
        <v>rokprognozy=2027 i lp=170</v>
      </c>
      <c r="T26" s="34" t="str">
        <f t="shared" si="6"/>
        <v>rokprognozy=2028 i lp=170</v>
      </c>
      <c r="U26" s="34" t="str">
        <f t="shared" si="6"/>
        <v>rokprognozy=2029 i lp=170</v>
      </c>
      <c r="V26" s="34" t="str">
        <f t="shared" si="6"/>
        <v>rokprognozy=2030 i lp=170</v>
      </c>
      <c r="W26" s="34" t="str">
        <f t="shared" si="6"/>
        <v>rokprognozy=2031 i lp=170</v>
      </c>
      <c r="X26" s="34" t="str">
        <f t="shared" si="6"/>
        <v>rokprognozy=2032 i lp=170</v>
      </c>
      <c r="Y26" s="34" t="str">
        <f t="shared" si="6"/>
        <v>rokprognozy=2033 i lp=170</v>
      </c>
      <c r="Z26" s="34" t="str">
        <f t="shared" si="6"/>
        <v>rokprognozy=2034 i lp=170</v>
      </c>
      <c r="AA26" s="34" t="str">
        <f t="shared" si="6"/>
        <v>rokprognozy=2035 i lp=170</v>
      </c>
      <c r="AB26" s="34" t="str">
        <f t="shared" si="6"/>
        <v>rokprognozy=2036 i lp=170</v>
      </c>
      <c r="AC26" s="34" t="str">
        <f t="shared" si="6"/>
        <v>rokprognozy=2037 i lp=170</v>
      </c>
      <c r="AD26" s="34" t="str">
        <f t="shared" si="7"/>
        <v>rokprognozy=2038 i lp=170</v>
      </c>
      <c r="AE26" s="34" t="str">
        <f t="shared" si="7"/>
        <v>rokprognozy=2039 i lp=170</v>
      </c>
      <c r="AF26" s="34" t="str">
        <f t="shared" si="7"/>
        <v>rokprognozy=2040 i lp=170</v>
      </c>
      <c r="AG26" s="34" t="str">
        <f t="shared" si="7"/>
        <v>rokprognozy=2041 i lp=170</v>
      </c>
      <c r="AH26" s="34" t="str">
        <f t="shared" si="7"/>
        <v>rokprognozy=2042 i lp=170</v>
      </c>
    </row>
    <row r="27" spans="1:34">
      <c r="A27" s="33">
        <v>180</v>
      </c>
      <c r="B27" s="33" t="s">
        <v>65</v>
      </c>
      <c r="C27" s="34" t="s">
        <v>66</v>
      </c>
      <c r="D27" s="34" t="str">
        <f t="shared" si="3"/>
        <v>rokprognozy=2013 i lp=180</v>
      </c>
      <c r="E27" s="34" t="str">
        <f t="shared" si="4"/>
        <v>rokprognozy=2013 i lp=180</v>
      </c>
      <c r="F27" s="34" t="str">
        <f t="shared" si="4"/>
        <v>rokprognozy=2014 i lp=180</v>
      </c>
      <c r="G27" s="34" t="str">
        <f t="shared" si="4"/>
        <v>rokprognozy=2015 i lp=180</v>
      </c>
      <c r="H27" s="34" t="str">
        <f t="shared" si="4"/>
        <v>rokprognozy=2016 i lp=180</v>
      </c>
      <c r="I27" s="34" t="str">
        <f t="shared" si="4"/>
        <v>rokprognozy=2017 i lp=180</v>
      </c>
      <c r="J27" s="34" t="str">
        <f t="shared" si="4"/>
        <v>rokprognozy=2018 i lp=180</v>
      </c>
      <c r="K27" s="34" t="str">
        <f t="shared" si="4"/>
        <v>rokprognozy=2019 i lp=180</v>
      </c>
      <c r="L27" s="34" t="str">
        <f t="shared" si="4"/>
        <v>rokprognozy=2020 i lp=180</v>
      </c>
      <c r="M27" s="34" t="str">
        <f t="shared" si="4"/>
        <v>rokprognozy=2021 i lp=180</v>
      </c>
      <c r="N27" s="34" t="str">
        <f t="shared" si="6"/>
        <v>rokprognozy=2022 i lp=180</v>
      </c>
      <c r="O27" s="34" t="str">
        <f t="shared" si="6"/>
        <v>rokprognozy=2023 i lp=180</v>
      </c>
      <c r="P27" s="34" t="str">
        <f t="shared" si="6"/>
        <v>rokprognozy=2024 i lp=180</v>
      </c>
      <c r="Q27" s="34" t="str">
        <f t="shared" si="6"/>
        <v>rokprognozy=2025 i lp=180</v>
      </c>
      <c r="R27" s="34" t="str">
        <f t="shared" si="6"/>
        <v>rokprognozy=2026 i lp=180</v>
      </c>
      <c r="S27" s="34" t="str">
        <f t="shared" si="6"/>
        <v>rokprognozy=2027 i lp=180</v>
      </c>
      <c r="T27" s="34" t="str">
        <f t="shared" si="6"/>
        <v>rokprognozy=2028 i lp=180</v>
      </c>
      <c r="U27" s="34" t="str">
        <f t="shared" si="6"/>
        <v>rokprognozy=2029 i lp=180</v>
      </c>
      <c r="V27" s="34" t="str">
        <f t="shared" si="6"/>
        <v>rokprognozy=2030 i lp=180</v>
      </c>
      <c r="W27" s="34" t="str">
        <f t="shared" si="6"/>
        <v>rokprognozy=2031 i lp=180</v>
      </c>
      <c r="X27" s="34" t="str">
        <f t="shared" si="6"/>
        <v>rokprognozy=2032 i lp=180</v>
      </c>
      <c r="Y27" s="34" t="str">
        <f t="shared" si="6"/>
        <v>rokprognozy=2033 i lp=180</v>
      </c>
      <c r="Z27" s="34" t="str">
        <f t="shared" si="6"/>
        <v>rokprognozy=2034 i lp=180</v>
      </c>
      <c r="AA27" s="34" t="str">
        <f t="shared" si="6"/>
        <v>rokprognozy=2035 i lp=180</v>
      </c>
      <c r="AB27" s="34" t="str">
        <f t="shared" si="6"/>
        <v>rokprognozy=2036 i lp=180</v>
      </c>
      <c r="AC27" s="34" t="str">
        <f t="shared" si="6"/>
        <v>rokprognozy=2037 i lp=180</v>
      </c>
      <c r="AD27" s="34" t="str">
        <f t="shared" si="7"/>
        <v>rokprognozy=2038 i lp=180</v>
      </c>
      <c r="AE27" s="34" t="str">
        <f t="shared" si="7"/>
        <v>rokprognozy=2039 i lp=180</v>
      </c>
      <c r="AF27" s="34" t="str">
        <f t="shared" si="7"/>
        <v>rokprognozy=2040 i lp=180</v>
      </c>
      <c r="AG27" s="34" t="str">
        <f t="shared" si="7"/>
        <v>rokprognozy=2041 i lp=180</v>
      </c>
      <c r="AH27" s="34" t="str">
        <f t="shared" si="7"/>
        <v>rokprognozy=2042 i lp=180</v>
      </c>
    </row>
    <row r="28" spans="1:34">
      <c r="A28" s="33">
        <v>190</v>
      </c>
      <c r="B28" s="33">
        <v>2.2000000000000002</v>
      </c>
      <c r="C28" s="34" t="s">
        <v>67</v>
      </c>
      <c r="D28" s="34" t="str">
        <f t="shared" si="3"/>
        <v>rokprognozy=2013 i lp=190</v>
      </c>
      <c r="E28" s="34" t="str">
        <f t="shared" si="4"/>
        <v>rokprognozy=2013 i lp=190</v>
      </c>
      <c r="F28" s="34" t="str">
        <f t="shared" si="4"/>
        <v>rokprognozy=2014 i lp=190</v>
      </c>
      <c r="G28" s="34" t="str">
        <f t="shared" si="4"/>
        <v>rokprognozy=2015 i lp=190</v>
      </c>
      <c r="H28" s="34" t="str">
        <f t="shared" si="4"/>
        <v>rokprognozy=2016 i lp=190</v>
      </c>
      <c r="I28" s="34" t="str">
        <f t="shared" si="4"/>
        <v>rokprognozy=2017 i lp=190</v>
      </c>
      <c r="J28" s="34" t="str">
        <f t="shared" si="4"/>
        <v>rokprognozy=2018 i lp=190</v>
      </c>
      <c r="K28" s="34" t="str">
        <f t="shared" si="4"/>
        <v>rokprognozy=2019 i lp=190</v>
      </c>
      <c r="L28" s="34" t="str">
        <f t="shared" si="4"/>
        <v>rokprognozy=2020 i lp=190</v>
      </c>
      <c r="M28" s="34" t="str">
        <f t="shared" si="4"/>
        <v>rokprognozy=2021 i lp=190</v>
      </c>
      <c r="N28" s="34" t="str">
        <f t="shared" si="6"/>
        <v>rokprognozy=2022 i lp=190</v>
      </c>
      <c r="O28" s="34" t="str">
        <f t="shared" si="6"/>
        <v>rokprognozy=2023 i lp=190</v>
      </c>
      <c r="P28" s="34" t="str">
        <f t="shared" si="6"/>
        <v>rokprognozy=2024 i lp=190</v>
      </c>
      <c r="Q28" s="34" t="str">
        <f t="shared" si="6"/>
        <v>rokprognozy=2025 i lp=190</v>
      </c>
      <c r="R28" s="34" t="str">
        <f t="shared" si="6"/>
        <v>rokprognozy=2026 i lp=190</v>
      </c>
      <c r="S28" s="34" t="str">
        <f t="shared" si="6"/>
        <v>rokprognozy=2027 i lp=190</v>
      </c>
      <c r="T28" s="34" t="str">
        <f t="shared" si="6"/>
        <v>rokprognozy=2028 i lp=190</v>
      </c>
      <c r="U28" s="34" t="str">
        <f t="shared" si="6"/>
        <v>rokprognozy=2029 i lp=190</v>
      </c>
      <c r="V28" s="34" t="str">
        <f t="shared" si="6"/>
        <v>rokprognozy=2030 i lp=190</v>
      </c>
      <c r="W28" s="34" t="str">
        <f t="shared" si="6"/>
        <v>rokprognozy=2031 i lp=190</v>
      </c>
      <c r="X28" s="34" t="str">
        <f t="shared" si="6"/>
        <v>rokprognozy=2032 i lp=190</v>
      </c>
      <c r="Y28" s="34" t="str">
        <f t="shared" si="6"/>
        <v>rokprognozy=2033 i lp=190</v>
      </c>
      <c r="Z28" s="34" t="str">
        <f t="shared" si="6"/>
        <v>rokprognozy=2034 i lp=190</v>
      </c>
      <c r="AA28" s="34" t="str">
        <f t="shared" si="6"/>
        <v>rokprognozy=2035 i lp=190</v>
      </c>
      <c r="AB28" s="34" t="str">
        <f t="shared" si="6"/>
        <v>rokprognozy=2036 i lp=190</v>
      </c>
      <c r="AC28" s="34" t="str">
        <f t="shared" si="6"/>
        <v>rokprognozy=2037 i lp=190</v>
      </c>
      <c r="AD28" s="34" t="str">
        <f t="shared" si="7"/>
        <v>rokprognozy=2038 i lp=190</v>
      </c>
      <c r="AE28" s="34" t="str">
        <f t="shared" si="7"/>
        <v>rokprognozy=2039 i lp=190</v>
      </c>
      <c r="AF28" s="34" t="str">
        <f t="shared" si="7"/>
        <v>rokprognozy=2040 i lp=190</v>
      </c>
      <c r="AG28" s="34" t="str">
        <f t="shared" si="7"/>
        <v>rokprognozy=2041 i lp=190</v>
      </c>
      <c r="AH28" s="34" t="str">
        <f t="shared" si="7"/>
        <v>rokprognozy=2042 i lp=190</v>
      </c>
    </row>
    <row r="29" spans="1:34">
      <c r="A29" s="33">
        <v>200</v>
      </c>
      <c r="B29" s="33">
        <v>3</v>
      </c>
      <c r="C29" s="34" t="s">
        <v>21</v>
      </c>
      <c r="D29" s="34" t="str">
        <f t="shared" si="3"/>
        <v>rokprognozy=2013 i lp=200</v>
      </c>
      <c r="E29" s="34" t="str">
        <f t="shared" si="4"/>
        <v>rokprognozy=2013 i lp=200</v>
      </c>
      <c r="F29" s="34" t="str">
        <f t="shared" si="4"/>
        <v>rokprognozy=2014 i lp=200</v>
      </c>
      <c r="G29" s="34" t="str">
        <f t="shared" si="4"/>
        <v>rokprognozy=2015 i lp=200</v>
      </c>
      <c r="H29" s="34" t="str">
        <f t="shared" si="4"/>
        <v>rokprognozy=2016 i lp=200</v>
      </c>
      <c r="I29" s="34" t="str">
        <f t="shared" si="4"/>
        <v>rokprognozy=2017 i lp=200</v>
      </c>
      <c r="J29" s="34" t="str">
        <f t="shared" si="4"/>
        <v>rokprognozy=2018 i lp=200</v>
      </c>
      <c r="K29" s="34" t="str">
        <f t="shared" si="4"/>
        <v>rokprognozy=2019 i lp=200</v>
      </c>
      <c r="L29" s="34" t="str">
        <f t="shared" si="4"/>
        <v>rokprognozy=2020 i lp=200</v>
      </c>
      <c r="M29" s="34" t="str">
        <f t="shared" si="4"/>
        <v>rokprognozy=2021 i lp=200</v>
      </c>
      <c r="N29" s="34" t="str">
        <f t="shared" si="6"/>
        <v>rokprognozy=2022 i lp=200</v>
      </c>
      <c r="O29" s="34" t="str">
        <f t="shared" si="6"/>
        <v>rokprognozy=2023 i lp=200</v>
      </c>
      <c r="P29" s="34" t="str">
        <f t="shared" si="6"/>
        <v>rokprognozy=2024 i lp=200</v>
      </c>
      <c r="Q29" s="34" t="str">
        <f t="shared" si="6"/>
        <v>rokprognozy=2025 i lp=200</v>
      </c>
      <c r="R29" s="34" t="str">
        <f t="shared" si="6"/>
        <v>rokprognozy=2026 i lp=200</v>
      </c>
      <c r="S29" s="34" t="str">
        <f t="shared" si="6"/>
        <v>rokprognozy=2027 i lp=200</v>
      </c>
      <c r="T29" s="34" t="str">
        <f t="shared" si="6"/>
        <v>rokprognozy=2028 i lp=200</v>
      </c>
      <c r="U29" s="34" t="str">
        <f t="shared" si="6"/>
        <v>rokprognozy=2029 i lp=200</v>
      </c>
      <c r="V29" s="34" t="str">
        <f t="shared" si="6"/>
        <v>rokprognozy=2030 i lp=200</v>
      </c>
      <c r="W29" s="34" t="str">
        <f t="shared" si="6"/>
        <v>rokprognozy=2031 i lp=200</v>
      </c>
      <c r="X29" s="34" t="str">
        <f t="shared" si="6"/>
        <v>rokprognozy=2032 i lp=200</v>
      </c>
      <c r="Y29" s="34" t="str">
        <f t="shared" si="6"/>
        <v>rokprognozy=2033 i lp=200</v>
      </c>
      <c r="Z29" s="34" t="str">
        <f t="shared" si="6"/>
        <v>rokprognozy=2034 i lp=200</v>
      </c>
      <c r="AA29" s="34" t="str">
        <f t="shared" si="6"/>
        <v>rokprognozy=2035 i lp=200</v>
      </c>
      <c r="AB29" s="34" t="str">
        <f t="shared" si="6"/>
        <v>rokprognozy=2036 i lp=200</v>
      </c>
      <c r="AC29" s="34" t="str">
        <f t="shared" si="6"/>
        <v>rokprognozy=2037 i lp=200</v>
      </c>
      <c r="AD29" s="34" t="str">
        <f t="shared" si="7"/>
        <v>rokprognozy=2038 i lp=200</v>
      </c>
      <c r="AE29" s="34" t="str">
        <f t="shared" si="7"/>
        <v>rokprognozy=2039 i lp=200</v>
      </c>
      <c r="AF29" s="34" t="str">
        <f t="shared" si="7"/>
        <v>rokprognozy=2040 i lp=200</v>
      </c>
      <c r="AG29" s="34" t="str">
        <f t="shared" si="7"/>
        <v>rokprognozy=2041 i lp=200</v>
      </c>
      <c r="AH29" s="34" t="str">
        <f t="shared" si="7"/>
        <v>rokprognozy=2042 i lp=200</v>
      </c>
    </row>
    <row r="30" spans="1:34">
      <c r="A30" s="33">
        <v>210</v>
      </c>
      <c r="B30" s="33">
        <v>4</v>
      </c>
      <c r="C30" s="34" t="s">
        <v>22</v>
      </c>
      <c r="D30" s="34" t="str">
        <f t="shared" si="3"/>
        <v>rokprognozy=2013 i lp=210</v>
      </c>
      <c r="E30" s="34" t="str">
        <f t="shared" si="4"/>
        <v>rokprognozy=2013 i lp=210</v>
      </c>
      <c r="F30" s="34" t="str">
        <f t="shared" si="4"/>
        <v>rokprognozy=2014 i lp=210</v>
      </c>
      <c r="G30" s="34" t="str">
        <f t="shared" si="4"/>
        <v>rokprognozy=2015 i lp=210</v>
      </c>
      <c r="H30" s="34" t="str">
        <f t="shared" si="4"/>
        <v>rokprognozy=2016 i lp=210</v>
      </c>
      <c r="I30" s="34" t="str">
        <f t="shared" si="4"/>
        <v>rokprognozy=2017 i lp=210</v>
      </c>
      <c r="J30" s="34" t="str">
        <f t="shared" si="4"/>
        <v>rokprognozy=2018 i lp=210</v>
      </c>
      <c r="K30" s="34" t="str">
        <f t="shared" si="4"/>
        <v>rokprognozy=2019 i lp=210</v>
      </c>
      <c r="L30" s="34" t="str">
        <f t="shared" si="4"/>
        <v>rokprognozy=2020 i lp=210</v>
      </c>
      <c r="M30" s="34" t="str">
        <f t="shared" si="4"/>
        <v>rokprognozy=2021 i lp=210</v>
      </c>
      <c r="N30" s="34" t="str">
        <f t="shared" si="6"/>
        <v>rokprognozy=2022 i lp=210</v>
      </c>
      <c r="O30" s="34" t="str">
        <f t="shared" si="6"/>
        <v>rokprognozy=2023 i lp=210</v>
      </c>
      <c r="P30" s="34" t="str">
        <f t="shared" si="6"/>
        <v>rokprognozy=2024 i lp=210</v>
      </c>
      <c r="Q30" s="34" t="str">
        <f t="shared" si="6"/>
        <v>rokprognozy=2025 i lp=210</v>
      </c>
      <c r="R30" s="34" t="str">
        <f t="shared" si="6"/>
        <v>rokprognozy=2026 i lp=210</v>
      </c>
      <c r="S30" s="34" t="str">
        <f t="shared" si="6"/>
        <v>rokprognozy=2027 i lp=210</v>
      </c>
      <c r="T30" s="34" t="str">
        <f t="shared" si="6"/>
        <v>rokprognozy=2028 i lp=210</v>
      </c>
      <c r="U30" s="34" t="str">
        <f t="shared" si="6"/>
        <v>rokprognozy=2029 i lp=210</v>
      </c>
      <c r="V30" s="34" t="str">
        <f t="shared" si="6"/>
        <v>rokprognozy=2030 i lp=210</v>
      </c>
      <c r="W30" s="34" t="str">
        <f t="shared" si="6"/>
        <v>rokprognozy=2031 i lp=210</v>
      </c>
      <c r="X30" s="34" t="str">
        <f t="shared" si="6"/>
        <v>rokprognozy=2032 i lp=210</v>
      </c>
      <c r="Y30" s="34" t="str">
        <f t="shared" si="6"/>
        <v>rokprognozy=2033 i lp=210</v>
      </c>
      <c r="Z30" s="34" t="str">
        <f t="shared" si="6"/>
        <v>rokprognozy=2034 i lp=210</v>
      </c>
      <c r="AA30" s="34" t="str">
        <f t="shared" si="6"/>
        <v>rokprognozy=2035 i lp=210</v>
      </c>
      <c r="AB30" s="34" t="str">
        <f t="shared" si="6"/>
        <v>rokprognozy=2036 i lp=210</v>
      </c>
      <c r="AC30" s="34" t="str">
        <f t="shared" si="6"/>
        <v>rokprognozy=2037 i lp=210</v>
      </c>
      <c r="AD30" s="34" t="str">
        <f t="shared" si="7"/>
        <v>rokprognozy=2038 i lp=210</v>
      </c>
      <c r="AE30" s="34" t="str">
        <f t="shared" si="7"/>
        <v>rokprognozy=2039 i lp=210</v>
      </c>
      <c r="AF30" s="34" t="str">
        <f t="shared" si="7"/>
        <v>rokprognozy=2040 i lp=210</v>
      </c>
      <c r="AG30" s="34" t="str">
        <f t="shared" si="7"/>
        <v>rokprognozy=2041 i lp=210</v>
      </c>
      <c r="AH30" s="34" t="str">
        <f t="shared" si="7"/>
        <v>rokprognozy=2042 i lp=210</v>
      </c>
    </row>
    <row r="31" spans="1:34">
      <c r="A31" s="33">
        <v>220</v>
      </c>
      <c r="B31" s="33">
        <v>4.0999999999999996</v>
      </c>
      <c r="C31" s="34" t="s">
        <v>68</v>
      </c>
      <c r="D31" s="34" t="str">
        <f t="shared" si="3"/>
        <v>rokprognozy=2013 i lp=220</v>
      </c>
      <c r="E31" s="34" t="str">
        <f t="shared" si="4"/>
        <v>rokprognozy=2013 i lp=220</v>
      </c>
      <c r="F31" s="34" t="str">
        <f t="shared" si="4"/>
        <v>rokprognozy=2014 i lp=220</v>
      </c>
      <c r="G31" s="34" t="str">
        <f t="shared" si="4"/>
        <v>rokprognozy=2015 i lp=220</v>
      </c>
      <c r="H31" s="34" t="str">
        <f t="shared" si="4"/>
        <v>rokprognozy=2016 i lp=220</v>
      </c>
      <c r="I31" s="34" t="str">
        <f t="shared" si="4"/>
        <v>rokprognozy=2017 i lp=220</v>
      </c>
      <c r="J31" s="34" t="str">
        <f t="shared" si="4"/>
        <v>rokprognozy=2018 i lp=220</v>
      </c>
      <c r="K31" s="34" t="str">
        <f t="shared" si="4"/>
        <v>rokprognozy=2019 i lp=220</v>
      </c>
      <c r="L31" s="34" t="str">
        <f t="shared" si="4"/>
        <v>rokprognozy=2020 i lp=220</v>
      </c>
      <c r="M31" s="34" t="str">
        <f t="shared" si="4"/>
        <v>rokprognozy=2021 i lp=220</v>
      </c>
      <c r="N31" s="34" t="str">
        <f t="shared" si="6"/>
        <v>rokprognozy=2022 i lp=220</v>
      </c>
      <c r="O31" s="34" t="str">
        <f t="shared" si="6"/>
        <v>rokprognozy=2023 i lp=220</v>
      </c>
      <c r="P31" s="34" t="str">
        <f t="shared" si="6"/>
        <v>rokprognozy=2024 i lp=220</v>
      </c>
      <c r="Q31" s="34" t="str">
        <f t="shared" si="6"/>
        <v>rokprognozy=2025 i lp=220</v>
      </c>
      <c r="R31" s="34" t="str">
        <f t="shared" si="6"/>
        <v>rokprognozy=2026 i lp=220</v>
      </c>
      <c r="S31" s="34" t="str">
        <f t="shared" si="6"/>
        <v>rokprognozy=2027 i lp=220</v>
      </c>
      <c r="T31" s="34" t="str">
        <f t="shared" si="6"/>
        <v>rokprognozy=2028 i lp=220</v>
      </c>
      <c r="U31" s="34" t="str">
        <f t="shared" si="6"/>
        <v>rokprognozy=2029 i lp=220</v>
      </c>
      <c r="V31" s="34" t="str">
        <f t="shared" si="6"/>
        <v>rokprognozy=2030 i lp=220</v>
      </c>
      <c r="W31" s="34" t="str">
        <f t="shared" si="6"/>
        <v>rokprognozy=2031 i lp=220</v>
      </c>
      <c r="X31" s="34" t="str">
        <f t="shared" si="6"/>
        <v>rokprognozy=2032 i lp=220</v>
      </c>
      <c r="Y31" s="34" t="str">
        <f t="shared" si="6"/>
        <v>rokprognozy=2033 i lp=220</v>
      </c>
      <c r="Z31" s="34" t="str">
        <f t="shared" si="6"/>
        <v>rokprognozy=2034 i lp=220</v>
      </c>
      <c r="AA31" s="34" t="str">
        <f t="shared" si="6"/>
        <v>rokprognozy=2035 i lp=220</v>
      </c>
      <c r="AB31" s="34" t="str">
        <f t="shared" si="6"/>
        <v>rokprognozy=2036 i lp=220</v>
      </c>
      <c r="AC31" s="34" t="str">
        <f t="shared" si="6"/>
        <v>rokprognozy=2037 i lp=220</v>
      </c>
      <c r="AD31" s="34" t="str">
        <f t="shared" si="7"/>
        <v>rokprognozy=2038 i lp=220</v>
      </c>
      <c r="AE31" s="34" t="str">
        <f t="shared" si="7"/>
        <v>rokprognozy=2039 i lp=220</v>
      </c>
      <c r="AF31" s="34" t="str">
        <f t="shared" si="7"/>
        <v>rokprognozy=2040 i lp=220</v>
      </c>
      <c r="AG31" s="34" t="str">
        <f t="shared" si="7"/>
        <v>rokprognozy=2041 i lp=220</v>
      </c>
      <c r="AH31" s="34" t="str">
        <f t="shared" si="7"/>
        <v>rokprognozy=2042 i lp=220</v>
      </c>
    </row>
    <row r="32" spans="1:34">
      <c r="A32" s="33">
        <v>230</v>
      </c>
      <c r="B32" s="33" t="s">
        <v>69</v>
      </c>
      <c r="C32" s="34" t="s">
        <v>70</v>
      </c>
      <c r="D32" s="34" t="str">
        <f t="shared" si="3"/>
        <v>rokprognozy=2013 i lp=230</v>
      </c>
      <c r="E32" s="34" t="str">
        <f t="shared" si="4"/>
        <v>rokprognozy=2013 i lp=230</v>
      </c>
      <c r="F32" s="34" t="str">
        <f t="shared" si="4"/>
        <v>rokprognozy=2014 i lp=230</v>
      </c>
      <c r="G32" s="34" t="str">
        <f t="shared" si="4"/>
        <v>rokprognozy=2015 i lp=230</v>
      </c>
      <c r="H32" s="34" t="str">
        <f t="shared" si="4"/>
        <v>rokprognozy=2016 i lp=230</v>
      </c>
      <c r="I32" s="34" t="str">
        <f t="shared" si="4"/>
        <v>rokprognozy=2017 i lp=230</v>
      </c>
      <c r="J32" s="34" t="str">
        <f t="shared" si="4"/>
        <v>rokprognozy=2018 i lp=230</v>
      </c>
      <c r="K32" s="34" t="str">
        <f t="shared" si="4"/>
        <v>rokprognozy=2019 i lp=230</v>
      </c>
      <c r="L32" s="34" t="str">
        <f t="shared" si="4"/>
        <v>rokprognozy=2020 i lp=230</v>
      </c>
      <c r="M32" s="34" t="str">
        <f t="shared" si="4"/>
        <v>rokprognozy=2021 i lp=230</v>
      </c>
      <c r="N32" s="34" t="str">
        <f t="shared" si="6"/>
        <v>rokprognozy=2022 i lp=230</v>
      </c>
      <c r="O32" s="34" t="str">
        <f t="shared" si="6"/>
        <v>rokprognozy=2023 i lp=230</v>
      </c>
      <c r="P32" s="34" t="str">
        <f t="shared" si="6"/>
        <v>rokprognozy=2024 i lp=230</v>
      </c>
      <c r="Q32" s="34" t="str">
        <f t="shared" si="6"/>
        <v>rokprognozy=2025 i lp=230</v>
      </c>
      <c r="R32" s="34" t="str">
        <f t="shared" si="6"/>
        <v>rokprognozy=2026 i lp=230</v>
      </c>
      <c r="S32" s="34" t="str">
        <f t="shared" si="6"/>
        <v>rokprognozy=2027 i lp=230</v>
      </c>
      <c r="T32" s="34" t="str">
        <f t="shared" si="6"/>
        <v>rokprognozy=2028 i lp=230</v>
      </c>
      <c r="U32" s="34" t="str">
        <f t="shared" si="6"/>
        <v>rokprognozy=2029 i lp=230</v>
      </c>
      <c r="V32" s="34" t="str">
        <f t="shared" si="6"/>
        <v>rokprognozy=2030 i lp=230</v>
      </c>
      <c r="W32" s="34" t="str">
        <f t="shared" si="6"/>
        <v>rokprognozy=2031 i lp=230</v>
      </c>
      <c r="X32" s="34" t="str">
        <f t="shared" si="6"/>
        <v>rokprognozy=2032 i lp=230</v>
      </c>
      <c r="Y32" s="34" t="str">
        <f t="shared" si="6"/>
        <v>rokprognozy=2033 i lp=230</v>
      </c>
      <c r="Z32" s="34" t="str">
        <f t="shared" si="6"/>
        <v>rokprognozy=2034 i lp=230</v>
      </c>
      <c r="AA32" s="34" t="str">
        <f t="shared" si="6"/>
        <v>rokprognozy=2035 i lp=230</v>
      </c>
      <c r="AB32" s="34" t="str">
        <f t="shared" si="6"/>
        <v>rokprognozy=2036 i lp=230</v>
      </c>
      <c r="AC32" s="34" t="str">
        <f t="shared" si="6"/>
        <v>rokprognozy=2037 i lp=230</v>
      </c>
      <c r="AD32" s="34" t="str">
        <f t="shared" si="7"/>
        <v>rokprognozy=2038 i lp=230</v>
      </c>
      <c r="AE32" s="34" t="str">
        <f t="shared" si="7"/>
        <v>rokprognozy=2039 i lp=230</v>
      </c>
      <c r="AF32" s="34" t="str">
        <f t="shared" si="7"/>
        <v>rokprognozy=2040 i lp=230</v>
      </c>
      <c r="AG32" s="34" t="str">
        <f t="shared" si="7"/>
        <v>rokprognozy=2041 i lp=230</v>
      </c>
      <c r="AH32" s="34" t="str">
        <f t="shared" si="7"/>
        <v>rokprognozy=2042 i lp=230</v>
      </c>
    </row>
    <row r="33" spans="1:34">
      <c r="A33" s="33">
        <v>240</v>
      </c>
      <c r="B33" s="33">
        <v>4.2</v>
      </c>
      <c r="C33" s="34" t="s">
        <v>71</v>
      </c>
      <c r="D33" s="34" t="str">
        <f t="shared" si="3"/>
        <v>rokprognozy=2013 i lp=240</v>
      </c>
      <c r="E33" s="34" t="str">
        <f t="shared" si="4"/>
        <v>rokprognozy=2013 i lp=240</v>
      </c>
      <c r="F33" s="34" t="str">
        <f t="shared" si="4"/>
        <v>rokprognozy=2014 i lp=240</v>
      </c>
      <c r="G33" s="34" t="str">
        <f t="shared" si="4"/>
        <v>rokprognozy=2015 i lp=240</v>
      </c>
      <c r="H33" s="34" t="str">
        <f t="shared" si="4"/>
        <v>rokprognozy=2016 i lp=240</v>
      </c>
      <c r="I33" s="34" t="str">
        <f t="shared" si="4"/>
        <v>rokprognozy=2017 i lp=240</v>
      </c>
      <c r="J33" s="34" t="str">
        <f t="shared" si="4"/>
        <v>rokprognozy=2018 i lp=240</v>
      </c>
      <c r="K33" s="34" t="str">
        <f t="shared" si="4"/>
        <v>rokprognozy=2019 i lp=240</v>
      </c>
      <c r="L33" s="34" t="str">
        <f t="shared" si="4"/>
        <v>rokprognozy=2020 i lp=240</v>
      </c>
      <c r="M33" s="34" t="str">
        <f t="shared" si="4"/>
        <v>rokprognozy=2021 i lp=240</v>
      </c>
      <c r="N33" s="34" t="str">
        <f t="shared" si="6"/>
        <v>rokprognozy=2022 i lp=240</v>
      </c>
      <c r="O33" s="34" t="str">
        <f t="shared" si="6"/>
        <v>rokprognozy=2023 i lp=240</v>
      </c>
      <c r="P33" s="34" t="str">
        <f t="shared" si="6"/>
        <v>rokprognozy=2024 i lp=240</v>
      </c>
      <c r="Q33" s="34" t="str">
        <f t="shared" si="6"/>
        <v>rokprognozy=2025 i lp=240</v>
      </c>
      <c r="R33" s="34" t="str">
        <f t="shared" si="6"/>
        <v>rokprognozy=2026 i lp=240</v>
      </c>
      <c r="S33" s="34" t="str">
        <f t="shared" si="6"/>
        <v>rokprognozy=2027 i lp=240</v>
      </c>
      <c r="T33" s="34" t="str">
        <f t="shared" si="6"/>
        <v>rokprognozy=2028 i lp=240</v>
      </c>
      <c r="U33" s="34" t="str">
        <f t="shared" si="6"/>
        <v>rokprognozy=2029 i lp=240</v>
      </c>
      <c r="V33" s="34" t="str">
        <f t="shared" si="6"/>
        <v>rokprognozy=2030 i lp=240</v>
      </c>
      <c r="W33" s="34" t="str">
        <f t="shared" si="6"/>
        <v>rokprognozy=2031 i lp=240</v>
      </c>
      <c r="X33" s="34" t="str">
        <f t="shared" si="6"/>
        <v>rokprognozy=2032 i lp=240</v>
      </c>
      <c r="Y33" s="34" t="str">
        <f t="shared" si="6"/>
        <v>rokprognozy=2033 i lp=240</v>
      </c>
      <c r="Z33" s="34" t="str">
        <f t="shared" si="6"/>
        <v>rokprognozy=2034 i lp=240</v>
      </c>
      <c r="AA33" s="34" t="str">
        <f t="shared" si="6"/>
        <v>rokprognozy=2035 i lp=240</v>
      </c>
      <c r="AB33" s="34" t="str">
        <f t="shared" si="6"/>
        <v>rokprognozy=2036 i lp=240</v>
      </c>
      <c r="AC33" s="34" t="str">
        <f t="shared" si="6"/>
        <v>rokprognozy=2037 i lp=240</v>
      </c>
      <c r="AD33" s="34" t="str">
        <f t="shared" si="7"/>
        <v>rokprognozy=2038 i lp=240</v>
      </c>
      <c r="AE33" s="34" t="str">
        <f t="shared" si="7"/>
        <v>rokprognozy=2039 i lp=240</v>
      </c>
      <c r="AF33" s="34" t="str">
        <f t="shared" si="7"/>
        <v>rokprognozy=2040 i lp=240</v>
      </c>
      <c r="AG33" s="34" t="str">
        <f t="shared" si="7"/>
        <v>rokprognozy=2041 i lp=240</v>
      </c>
      <c r="AH33" s="34" t="str">
        <f t="shared" si="7"/>
        <v>rokprognozy=2042 i lp=240</v>
      </c>
    </row>
    <row r="34" spans="1:34">
      <c r="A34" s="33">
        <v>250</v>
      </c>
      <c r="B34" s="33" t="s">
        <v>72</v>
      </c>
      <c r="C34" s="34" t="s">
        <v>73</v>
      </c>
      <c r="D34" s="34" t="str">
        <f t="shared" si="3"/>
        <v>rokprognozy=2013 i lp=250</v>
      </c>
      <c r="E34" s="34" t="str">
        <f t="shared" si="4"/>
        <v>rokprognozy=2013 i lp=250</v>
      </c>
      <c r="F34" s="34" t="str">
        <f t="shared" si="4"/>
        <v>rokprognozy=2014 i lp=250</v>
      </c>
      <c r="G34" s="34" t="str">
        <f t="shared" si="4"/>
        <v>rokprognozy=2015 i lp=250</v>
      </c>
      <c r="H34" s="34" t="str">
        <f t="shared" si="4"/>
        <v>rokprognozy=2016 i lp=250</v>
      </c>
      <c r="I34" s="34" t="str">
        <f t="shared" si="4"/>
        <v>rokprognozy=2017 i lp=250</v>
      </c>
      <c r="J34" s="34" t="str">
        <f t="shared" si="4"/>
        <v>rokprognozy=2018 i lp=250</v>
      </c>
      <c r="K34" s="34" t="str">
        <f t="shared" si="4"/>
        <v>rokprognozy=2019 i lp=250</v>
      </c>
      <c r="L34" s="34" t="str">
        <f t="shared" si="4"/>
        <v>rokprognozy=2020 i lp=250</v>
      </c>
      <c r="M34" s="34" t="str">
        <f t="shared" si="4"/>
        <v>rokprognozy=2021 i lp=250</v>
      </c>
      <c r="N34" s="34" t="str">
        <f t="shared" si="6"/>
        <v>rokprognozy=2022 i lp=250</v>
      </c>
      <c r="O34" s="34" t="str">
        <f t="shared" si="6"/>
        <v>rokprognozy=2023 i lp=250</v>
      </c>
      <c r="P34" s="34" t="str">
        <f t="shared" si="6"/>
        <v>rokprognozy=2024 i lp=250</v>
      </c>
      <c r="Q34" s="34" t="str">
        <f t="shared" si="6"/>
        <v>rokprognozy=2025 i lp=250</v>
      </c>
      <c r="R34" s="34" t="str">
        <f t="shared" si="6"/>
        <v>rokprognozy=2026 i lp=250</v>
      </c>
      <c r="S34" s="34" t="str">
        <f t="shared" si="6"/>
        <v>rokprognozy=2027 i lp=250</v>
      </c>
      <c r="T34" s="34" t="str">
        <f t="shared" si="6"/>
        <v>rokprognozy=2028 i lp=250</v>
      </c>
      <c r="U34" s="34" t="str">
        <f t="shared" si="6"/>
        <v>rokprognozy=2029 i lp=250</v>
      </c>
      <c r="V34" s="34" t="str">
        <f t="shared" si="6"/>
        <v>rokprognozy=2030 i lp=250</v>
      </c>
      <c r="W34" s="34" t="str">
        <f t="shared" si="6"/>
        <v>rokprognozy=2031 i lp=250</v>
      </c>
      <c r="X34" s="34" t="str">
        <f t="shared" si="6"/>
        <v>rokprognozy=2032 i lp=250</v>
      </c>
      <c r="Y34" s="34" t="str">
        <f t="shared" si="6"/>
        <v>rokprognozy=2033 i lp=250</v>
      </c>
      <c r="Z34" s="34" t="str">
        <f t="shared" si="6"/>
        <v>rokprognozy=2034 i lp=250</v>
      </c>
      <c r="AA34" s="34" t="str">
        <f t="shared" si="6"/>
        <v>rokprognozy=2035 i lp=250</v>
      </c>
      <c r="AB34" s="34" t="str">
        <f t="shared" si="6"/>
        <v>rokprognozy=2036 i lp=250</v>
      </c>
      <c r="AC34" s="34" t="str">
        <f t="shared" si="6"/>
        <v>rokprognozy=2037 i lp=250</v>
      </c>
      <c r="AD34" s="34" t="str">
        <f t="shared" si="7"/>
        <v>rokprognozy=2038 i lp=250</v>
      </c>
      <c r="AE34" s="34" t="str">
        <f t="shared" si="7"/>
        <v>rokprognozy=2039 i lp=250</v>
      </c>
      <c r="AF34" s="34" t="str">
        <f t="shared" si="7"/>
        <v>rokprognozy=2040 i lp=250</v>
      </c>
      <c r="AG34" s="34" t="str">
        <f t="shared" si="7"/>
        <v>rokprognozy=2041 i lp=250</v>
      </c>
      <c r="AH34" s="34" t="str">
        <f t="shared" si="7"/>
        <v>rokprognozy=2042 i lp=250</v>
      </c>
    </row>
    <row r="35" spans="1:34">
      <c r="A35" s="33">
        <v>260</v>
      </c>
      <c r="B35" s="33">
        <v>4.3</v>
      </c>
      <c r="C35" s="34" t="s">
        <v>74</v>
      </c>
      <c r="D35" s="34" t="str">
        <f t="shared" si="3"/>
        <v>rokprognozy=2013 i lp=260</v>
      </c>
      <c r="E35" s="34" t="str">
        <f t="shared" si="4"/>
        <v>rokprognozy=2013 i lp=260</v>
      </c>
      <c r="F35" s="34" t="str">
        <f t="shared" si="4"/>
        <v>rokprognozy=2014 i lp=260</v>
      </c>
      <c r="G35" s="34" t="str">
        <f t="shared" si="4"/>
        <v>rokprognozy=2015 i lp=260</v>
      </c>
      <c r="H35" s="34" t="str">
        <f t="shared" si="4"/>
        <v>rokprognozy=2016 i lp=260</v>
      </c>
      <c r="I35" s="34" t="str">
        <f t="shared" si="4"/>
        <v>rokprognozy=2017 i lp=260</v>
      </c>
      <c r="J35" s="34" t="str">
        <f t="shared" si="4"/>
        <v>rokprognozy=2018 i lp=260</v>
      </c>
      <c r="K35" s="34" t="str">
        <f t="shared" si="4"/>
        <v>rokprognozy=2019 i lp=260</v>
      </c>
      <c r="L35" s="34" t="str">
        <f t="shared" si="4"/>
        <v>rokprognozy=2020 i lp=260</v>
      </c>
      <c r="M35" s="34" t="str">
        <f t="shared" si="4"/>
        <v>rokprognozy=2021 i lp=260</v>
      </c>
      <c r="N35" s="34" t="str">
        <f t="shared" si="6"/>
        <v>rokprognozy=2022 i lp=260</v>
      </c>
      <c r="O35" s="34" t="str">
        <f t="shared" si="6"/>
        <v>rokprognozy=2023 i lp=260</v>
      </c>
      <c r="P35" s="34" t="str">
        <f t="shared" si="6"/>
        <v>rokprognozy=2024 i lp=260</v>
      </c>
      <c r="Q35" s="34" t="str">
        <f t="shared" si="6"/>
        <v>rokprognozy=2025 i lp=260</v>
      </c>
      <c r="R35" s="34" t="str">
        <f t="shared" si="6"/>
        <v>rokprognozy=2026 i lp=260</v>
      </c>
      <c r="S35" s="34" t="str">
        <f t="shared" si="6"/>
        <v>rokprognozy=2027 i lp=260</v>
      </c>
      <c r="T35" s="34" t="str">
        <f t="shared" si="6"/>
        <v>rokprognozy=2028 i lp=260</v>
      </c>
      <c r="U35" s="34" t="str">
        <f t="shared" si="6"/>
        <v>rokprognozy=2029 i lp=260</v>
      </c>
      <c r="V35" s="34" t="str">
        <f t="shared" si="6"/>
        <v>rokprognozy=2030 i lp=260</v>
      </c>
      <c r="W35" s="34" t="str">
        <f t="shared" si="6"/>
        <v>rokprognozy=2031 i lp=260</v>
      </c>
      <c r="X35" s="34" t="str">
        <f t="shared" si="6"/>
        <v>rokprognozy=2032 i lp=260</v>
      </c>
      <c r="Y35" s="34" t="str">
        <f t="shared" si="6"/>
        <v>rokprognozy=2033 i lp=260</v>
      </c>
      <c r="Z35" s="34" t="str">
        <f t="shared" si="6"/>
        <v>rokprognozy=2034 i lp=260</v>
      </c>
      <c r="AA35" s="34" t="str">
        <f t="shared" si="6"/>
        <v>rokprognozy=2035 i lp=260</v>
      </c>
      <c r="AB35" s="34" t="str">
        <f t="shared" si="6"/>
        <v>rokprognozy=2036 i lp=260</v>
      </c>
      <c r="AC35" s="34" t="str">
        <f t="shared" si="6"/>
        <v>rokprognozy=2037 i lp=260</v>
      </c>
      <c r="AD35" s="34" t="str">
        <f t="shared" si="7"/>
        <v>rokprognozy=2038 i lp=260</v>
      </c>
      <c r="AE35" s="34" t="str">
        <f t="shared" si="7"/>
        <v>rokprognozy=2039 i lp=260</v>
      </c>
      <c r="AF35" s="34" t="str">
        <f t="shared" si="7"/>
        <v>rokprognozy=2040 i lp=260</v>
      </c>
      <c r="AG35" s="34" t="str">
        <f t="shared" si="7"/>
        <v>rokprognozy=2041 i lp=260</v>
      </c>
      <c r="AH35" s="34" t="str">
        <f t="shared" si="7"/>
        <v>rokprognozy=2042 i lp=260</v>
      </c>
    </row>
    <row r="36" spans="1:34">
      <c r="A36" s="33">
        <v>270</v>
      </c>
      <c r="B36" s="33" t="s">
        <v>75</v>
      </c>
      <c r="C36" s="34" t="s">
        <v>73</v>
      </c>
      <c r="D36" s="34" t="str">
        <f t="shared" si="3"/>
        <v>rokprognozy=2013 i lp=270</v>
      </c>
      <c r="E36" s="34" t="str">
        <f t="shared" si="4"/>
        <v>rokprognozy=2013 i lp=270</v>
      </c>
      <c r="F36" s="34" t="str">
        <f t="shared" si="4"/>
        <v>rokprognozy=2014 i lp=270</v>
      </c>
      <c r="G36" s="34" t="str">
        <f t="shared" si="4"/>
        <v>rokprognozy=2015 i lp=270</v>
      </c>
      <c r="H36" s="34" t="str">
        <f t="shared" ref="E36:T51" si="8">+"rokprognozy="&amp;H$9&amp;" i lp="&amp;$A36</f>
        <v>rokprognozy=2016 i lp=270</v>
      </c>
      <c r="I36" s="34" t="str">
        <f t="shared" si="8"/>
        <v>rokprognozy=2017 i lp=270</v>
      </c>
      <c r="J36" s="34" t="str">
        <f t="shared" si="8"/>
        <v>rokprognozy=2018 i lp=270</v>
      </c>
      <c r="K36" s="34" t="str">
        <f t="shared" si="8"/>
        <v>rokprognozy=2019 i lp=270</v>
      </c>
      <c r="L36" s="34" t="str">
        <f t="shared" si="8"/>
        <v>rokprognozy=2020 i lp=270</v>
      </c>
      <c r="M36" s="34" t="str">
        <f t="shared" si="8"/>
        <v>rokprognozy=2021 i lp=270</v>
      </c>
      <c r="N36" s="34" t="str">
        <f t="shared" si="6"/>
        <v>rokprognozy=2022 i lp=270</v>
      </c>
      <c r="O36" s="34" t="str">
        <f t="shared" si="6"/>
        <v>rokprognozy=2023 i lp=270</v>
      </c>
      <c r="P36" s="34" t="str">
        <f t="shared" si="6"/>
        <v>rokprognozy=2024 i lp=270</v>
      </c>
      <c r="Q36" s="34" t="str">
        <f t="shared" si="6"/>
        <v>rokprognozy=2025 i lp=270</v>
      </c>
      <c r="R36" s="34" t="str">
        <f t="shared" si="6"/>
        <v>rokprognozy=2026 i lp=270</v>
      </c>
      <c r="S36" s="34" t="str">
        <f t="shared" si="6"/>
        <v>rokprognozy=2027 i lp=270</v>
      </c>
      <c r="T36" s="34" t="str">
        <f t="shared" si="6"/>
        <v>rokprognozy=2028 i lp=270</v>
      </c>
      <c r="U36" s="34" t="str">
        <f t="shared" si="6"/>
        <v>rokprognozy=2029 i lp=270</v>
      </c>
      <c r="V36" s="34" t="str">
        <f t="shared" si="6"/>
        <v>rokprognozy=2030 i lp=270</v>
      </c>
      <c r="W36" s="34" t="str">
        <f t="shared" si="6"/>
        <v>rokprognozy=2031 i lp=270</v>
      </c>
      <c r="X36" s="34" t="str">
        <f t="shared" si="6"/>
        <v>rokprognozy=2032 i lp=270</v>
      </c>
      <c r="Y36" s="34" t="str">
        <f t="shared" si="6"/>
        <v>rokprognozy=2033 i lp=270</v>
      </c>
      <c r="Z36" s="34" t="str">
        <f t="shared" si="6"/>
        <v>rokprognozy=2034 i lp=270</v>
      </c>
      <c r="AA36" s="34" t="str">
        <f t="shared" si="6"/>
        <v>rokprognozy=2035 i lp=270</v>
      </c>
      <c r="AB36" s="34" t="str">
        <f t="shared" si="6"/>
        <v>rokprognozy=2036 i lp=270</v>
      </c>
      <c r="AC36" s="34" t="str">
        <f t="shared" si="6"/>
        <v>rokprognozy=2037 i lp=270</v>
      </c>
      <c r="AD36" s="34" t="str">
        <f t="shared" si="7"/>
        <v>rokprognozy=2038 i lp=270</v>
      </c>
      <c r="AE36" s="34" t="str">
        <f t="shared" si="7"/>
        <v>rokprognozy=2039 i lp=270</v>
      </c>
      <c r="AF36" s="34" t="str">
        <f t="shared" si="7"/>
        <v>rokprognozy=2040 i lp=270</v>
      </c>
      <c r="AG36" s="34" t="str">
        <f t="shared" si="7"/>
        <v>rokprognozy=2041 i lp=270</v>
      </c>
      <c r="AH36" s="34" t="str">
        <f t="shared" si="7"/>
        <v>rokprognozy=2042 i lp=270</v>
      </c>
    </row>
    <row r="37" spans="1:34">
      <c r="A37" s="33">
        <v>280</v>
      </c>
      <c r="B37" s="33">
        <v>4.4000000000000004</v>
      </c>
      <c r="C37" s="34" t="s">
        <v>76</v>
      </c>
      <c r="D37" s="34" t="str">
        <f t="shared" si="3"/>
        <v>rokprognozy=2013 i lp=280</v>
      </c>
      <c r="E37" s="34" t="str">
        <f t="shared" si="8"/>
        <v>rokprognozy=2013 i lp=280</v>
      </c>
      <c r="F37" s="34" t="str">
        <f t="shared" si="8"/>
        <v>rokprognozy=2014 i lp=280</v>
      </c>
      <c r="G37" s="34" t="str">
        <f t="shared" si="8"/>
        <v>rokprognozy=2015 i lp=280</v>
      </c>
      <c r="H37" s="34" t="str">
        <f t="shared" si="8"/>
        <v>rokprognozy=2016 i lp=280</v>
      </c>
      <c r="I37" s="34" t="str">
        <f t="shared" si="8"/>
        <v>rokprognozy=2017 i lp=280</v>
      </c>
      <c r="J37" s="34" t="str">
        <f t="shared" si="8"/>
        <v>rokprognozy=2018 i lp=280</v>
      </c>
      <c r="K37" s="34" t="str">
        <f t="shared" si="8"/>
        <v>rokprognozy=2019 i lp=280</v>
      </c>
      <c r="L37" s="34" t="str">
        <f t="shared" si="8"/>
        <v>rokprognozy=2020 i lp=280</v>
      </c>
      <c r="M37" s="34" t="str">
        <f t="shared" si="8"/>
        <v>rokprognozy=2021 i lp=280</v>
      </c>
      <c r="N37" s="34" t="str">
        <f t="shared" si="6"/>
        <v>rokprognozy=2022 i lp=280</v>
      </c>
      <c r="O37" s="34" t="str">
        <f t="shared" si="6"/>
        <v>rokprognozy=2023 i lp=280</v>
      </c>
      <c r="P37" s="34" t="str">
        <f t="shared" si="6"/>
        <v>rokprognozy=2024 i lp=280</v>
      </c>
      <c r="Q37" s="34" t="str">
        <f t="shared" si="6"/>
        <v>rokprognozy=2025 i lp=280</v>
      </c>
      <c r="R37" s="34" t="str">
        <f t="shared" si="6"/>
        <v>rokprognozy=2026 i lp=280</v>
      </c>
      <c r="S37" s="34" t="str">
        <f t="shared" si="6"/>
        <v>rokprognozy=2027 i lp=280</v>
      </c>
      <c r="T37" s="34" t="str">
        <f t="shared" si="6"/>
        <v>rokprognozy=2028 i lp=280</v>
      </c>
      <c r="U37" s="34" t="str">
        <f t="shared" si="6"/>
        <v>rokprognozy=2029 i lp=280</v>
      </c>
      <c r="V37" s="34" t="str">
        <f t="shared" si="6"/>
        <v>rokprognozy=2030 i lp=280</v>
      </c>
      <c r="W37" s="34" t="str">
        <f t="shared" si="6"/>
        <v>rokprognozy=2031 i lp=280</v>
      </c>
      <c r="X37" s="34" t="str">
        <f t="shared" si="6"/>
        <v>rokprognozy=2032 i lp=280</v>
      </c>
      <c r="Y37" s="34" t="str">
        <f t="shared" si="6"/>
        <v>rokprognozy=2033 i lp=280</v>
      </c>
      <c r="Z37" s="34" t="str">
        <f t="shared" si="6"/>
        <v>rokprognozy=2034 i lp=280</v>
      </c>
      <c r="AA37" s="34" t="str">
        <f t="shared" si="6"/>
        <v>rokprognozy=2035 i lp=280</v>
      </c>
      <c r="AB37" s="34" t="str">
        <f t="shared" si="6"/>
        <v>rokprognozy=2036 i lp=280</v>
      </c>
      <c r="AC37" s="34" t="str">
        <f t="shared" si="6"/>
        <v>rokprognozy=2037 i lp=280</v>
      </c>
      <c r="AD37" s="34" t="str">
        <f t="shared" si="7"/>
        <v>rokprognozy=2038 i lp=280</v>
      </c>
      <c r="AE37" s="34" t="str">
        <f t="shared" si="7"/>
        <v>rokprognozy=2039 i lp=280</v>
      </c>
      <c r="AF37" s="34" t="str">
        <f t="shared" si="7"/>
        <v>rokprognozy=2040 i lp=280</v>
      </c>
      <c r="AG37" s="34" t="str">
        <f t="shared" si="7"/>
        <v>rokprognozy=2041 i lp=280</v>
      </c>
      <c r="AH37" s="34" t="str">
        <f t="shared" si="7"/>
        <v>rokprognozy=2042 i lp=280</v>
      </c>
    </row>
    <row r="38" spans="1:34">
      <c r="A38" s="33">
        <v>290</v>
      </c>
      <c r="B38" s="33" t="s">
        <v>77</v>
      </c>
      <c r="C38" s="34" t="s">
        <v>73</v>
      </c>
      <c r="D38" s="34" t="str">
        <f t="shared" si="3"/>
        <v>rokprognozy=2013 i lp=290</v>
      </c>
      <c r="E38" s="34" t="str">
        <f t="shared" si="8"/>
        <v>rokprognozy=2013 i lp=290</v>
      </c>
      <c r="F38" s="34" t="str">
        <f t="shared" si="8"/>
        <v>rokprognozy=2014 i lp=290</v>
      </c>
      <c r="G38" s="34" t="str">
        <f t="shared" si="8"/>
        <v>rokprognozy=2015 i lp=290</v>
      </c>
      <c r="H38" s="34" t="str">
        <f t="shared" si="8"/>
        <v>rokprognozy=2016 i lp=290</v>
      </c>
      <c r="I38" s="34" t="str">
        <f t="shared" si="8"/>
        <v>rokprognozy=2017 i lp=290</v>
      </c>
      <c r="J38" s="34" t="str">
        <f t="shared" si="8"/>
        <v>rokprognozy=2018 i lp=290</v>
      </c>
      <c r="K38" s="34" t="str">
        <f t="shared" si="8"/>
        <v>rokprognozy=2019 i lp=290</v>
      </c>
      <c r="L38" s="34" t="str">
        <f t="shared" si="8"/>
        <v>rokprognozy=2020 i lp=290</v>
      </c>
      <c r="M38" s="34" t="str">
        <f t="shared" si="8"/>
        <v>rokprognozy=2021 i lp=290</v>
      </c>
      <c r="N38" s="34" t="str">
        <f t="shared" si="6"/>
        <v>rokprognozy=2022 i lp=290</v>
      </c>
      <c r="O38" s="34" t="str">
        <f t="shared" si="6"/>
        <v>rokprognozy=2023 i lp=290</v>
      </c>
      <c r="P38" s="34" t="str">
        <f t="shared" si="6"/>
        <v>rokprognozy=2024 i lp=290</v>
      </c>
      <c r="Q38" s="34" t="str">
        <f t="shared" si="6"/>
        <v>rokprognozy=2025 i lp=290</v>
      </c>
      <c r="R38" s="34" t="str">
        <f t="shared" si="6"/>
        <v>rokprognozy=2026 i lp=290</v>
      </c>
      <c r="S38" s="34" t="str">
        <f t="shared" si="6"/>
        <v>rokprognozy=2027 i lp=290</v>
      </c>
      <c r="T38" s="34" t="str">
        <f t="shared" si="6"/>
        <v>rokprognozy=2028 i lp=290</v>
      </c>
      <c r="U38" s="34" t="str">
        <f t="shared" si="6"/>
        <v>rokprognozy=2029 i lp=290</v>
      </c>
      <c r="V38" s="34" t="str">
        <f t="shared" si="6"/>
        <v>rokprognozy=2030 i lp=290</v>
      </c>
      <c r="W38" s="34" t="str">
        <f t="shared" si="6"/>
        <v>rokprognozy=2031 i lp=290</v>
      </c>
      <c r="X38" s="34" t="str">
        <f t="shared" si="6"/>
        <v>rokprognozy=2032 i lp=290</v>
      </c>
      <c r="Y38" s="34" t="str">
        <f t="shared" si="6"/>
        <v>rokprognozy=2033 i lp=290</v>
      </c>
      <c r="Z38" s="34" t="str">
        <f t="shared" si="6"/>
        <v>rokprognozy=2034 i lp=290</v>
      </c>
      <c r="AA38" s="34" t="str">
        <f t="shared" si="6"/>
        <v>rokprognozy=2035 i lp=290</v>
      </c>
      <c r="AB38" s="34" t="str">
        <f t="shared" si="6"/>
        <v>rokprognozy=2036 i lp=290</v>
      </c>
      <c r="AC38" s="34" t="str">
        <f>+"rokprognozy="&amp;AC$9&amp;" i lp="&amp;$A38</f>
        <v>rokprognozy=2037 i lp=290</v>
      </c>
      <c r="AD38" s="34" t="str">
        <f t="shared" si="7"/>
        <v>rokprognozy=2038 i lp=290</v>
      </c>
      <c r="AE38" s="34" t="str">
        <f t="shared" si="7"/>
        <v>rokprognozy=2039 i lp=290</v>
      </c>
      <c r="AF38" s="34" t="str">
        <f t="shared" si="7"/>
        <v>rokprognozy=2040 i lp=290</v>
      </c>
      <c r="AG38" s="34" t="str">
        <f t="shared" si="7"/>
        <v>rokprognozy=2041 i lp=290</v>
      </c>
      <c r="AH38" s="34" t="str">
        <f t="shared" si="7"/>
        <v>rokprognozy=2042 i lp=290</v>
      </c>
    </row>
    <row r="39" spans="1:34">
      <c r="A39" s="33">
        <v>300</v>
      </c>
      <c r="B39" s="33">
        <v>5</v>
      </c>
      <c r="C39" s="34" t="s">
        <v>78</v>
      </c>
      <c r="D39" s="34" t="str">
        <f t="shared" si="3"/>
        <v>rokprognozy=2013 i lp=300</v>
      </c>
      <c r="E39" s="34" t="str">
        <f t="shared" si="8"/>
        <v>rokprognozy=2013 i lp=300</v>
      </c>
      <c r="F39" s="34" t="str">
        <f t="shared" si="8"/>
        <v>rokprognozy=2014 i lp=300</v>
      </c>
      <c r="G39" s="34" t="str">
        <f t="shared" si="8"/>
        <v>rokprognozy=2015 i lp=300</v>
      </c>
      <c r="H39" s="34" t="str">
        <f t="shared" si="8"/>
        <v>rokprognozy=2016 i lp=300</v>
      </c>
      <c r="I39" s="34" t="str">
        <f t="shared" si="8"/>
        <v>rokprognozy=2017 i lp=300</v>
      </c>
      <c r="J39" s="34" t="str">
        <f t="shared" si="8"/>
        <v>rokprognozy=2018 i lp=300</v>
      </c>
      <c r="K39" s="34" t="str">
        <f t="shared" si="8"/>
        <v>rokprognozy=2019 i lp=300</v>
      </c>
      <c r="L39" s="34" t="str">
        <f t="shared" si="8"/>
        <v>rokprognozy=2020 i lp=300</v>
      </c>
      <c r="M39" s="34" t="str">
        <f t="shared" si="8"/>
        <v>rokprognozy=2021 i lp=300</v>
      </c>
      <c r="N39" s="34" t="str">
        <f t="shared" si="8"/>
        <v>rokprognozy=2022 i lp=300</v>
      </c>
      <c r="O39" s="34" t="str">
        <f t="shared" si="8"/>
        <v>rokprognozy=2023 i lp=300</v>
      </c>
      <c r="P39" s="34" t="str">
        <f t="shared" si="8"/>
        <v>rokprognozy=2024 i lp=300</v>
      </c>
      <c r="Q39" s="34" t="str">
        <f t="shared" si="8"/>
        <v>rokprognozy=2025 i lp=300</v>
      </c>
      <c r="R39" s="34" t="str">
        <f t="shared" si="8"/>
        <v>rokprognozy=2026 i lp=300</v>
      </c>
      <c r="S39" s="34" t="str">
        <f t="shared" si="8"/>
        <v>rokprognozy=2027 i lp=300</v>
      </c>
      <c r="T39" s="34" t="str">
        <f t="shared" si="8"/>
        <v>rokprognozy=2028 i lp=300</v>
      </c>
      <c r="U39" s="34" t="str">
        <f t="shared" ref="N39:AC55" si="9">+"rokprognozy="&amp;U$9&amp;" i lp="&amp;$A39</f>
        <v>rokprognozy=2029 i lp=300</v>
      </c>
      <c r="V39" s="34" t="str">
        <f t="shared" si="9"/>
        <v>rokprognozy=2030 i lp=300</v>
      </c>
      <c r="W39" s="34" t="str">
        <f t="shared" si="9"/>
        <v>rokprognozy=2031 i lp=300</v>
      </c>
      <c r="X39" s="34" t="str">
        <f t="shared" si="9"/>
        <v>rokprognozy=2032 i lp=300</v>
      </c>
      <c r="Y39" s="34" t="str">
        <f t="shared" si="9"/>
        <v>rokprognozy=2033 i lp=300</v>
      </c>
      <c r="Z39" s="34" t="str">
        <f t="shared" si="9"/>
        <v>rokprognozy=2034 i lp=300</v>
      </c>
      <c r="AA39" s="34" t="str">
        <f t="shared" si="9"/>
        <v>rokprognozy=2035 i lp=300</v>
      </c>
      <c r="AB39" s="34" t="str">
        <f t="shared" si="9"/>
        <v>rokprognozy=2036 i lp=300</v>
      </c>
      <c r="AC39" s="34" t="str">
        <f t="shared" si="9"/>
        <v>rokprognozy=2037 i lp=300</v>
      </c>
      <c r="AD39" s="34" t="str">
        <f t="shared" si="7"/>
        <v>rokprognozy=2038 i lp=300</v>
      </c>
      <c r="AE39" s="34" t="str">
        <f t="shared" si="7"/>
        <v>rokprognozy=2039 i lp=300</v>
      </c>
      <c r="AF39" s="34" t="str">
        <f t="shared" si="7"/>
        <v>rokprognozy=2040 i lp=300</v>
      </c>
      <c r="AG39" s="34" t="str">
        <f t="shared" si="7"/>
        <v>rokprognozy=2041 i lp=300</v>
      </c>
      <c r="AH39" s="34" t="str">
        <f t="shared" si="7"/>
        <v>rokprognozy=2042 i lp=300</v>
      </c>
    </row>
    <row r="40" spans="1:34">
      <c r="A40" s="33">
        <v>310</v>
      </c>
      <c r="B40" s="33">
        <v>5.0999999999999996</v>
      </c>
      <c r="C40" s="34" t="s">
        <v>79</v>
      </c>
      <c r="D40" s="34" t="str">
        <f t="shared" si="3"/>
        <v>rokprognozy=2013 i lp=310</v>
      </c>
      <c r="E40" s="34" t="str">
        <f t="shared" si="8"/>
        <v>rokprognozy=2013 i lp=310</v>
      </c>
      <c r="F40" s="34" t="str">
        <f t="shared" si="8"/>
        <v>rokprognozy=2014 i lp=310</v>
      </c>
      <c r="G40" s="34" t="str">
        <f t="shared" si="8"/>
        <v>rokprognozy=2015 i lp=310</v>
      </c>
      <c r="H40" s="34" t="str">
        <f t="shared" si="8"/>
        <v>rokprognozy=2016 i lp=310</v>
      </c>
      <c r="I40" s="34" t="str">
        <f t="shared" si="8"/>
        <v>rokprognozy=2017 i lp=310</v>
      </c>
      <c r="J40" s="34" t="str">
        <f t="shared" si="8"/>
        <v>rokprognozy=2018 i lp=310</v>
      </c>
      <c r="K40" s="34" t="str">
        <f t="shared" si="8"/>
        <v>rokprognozy=2019 i lp=310</v>
      </c>
      <c r="L40" s="34" t="str">
        <f t="shared" si="8"/>
        <v>rokprognozy=2020 i lp=310</v>
      </c>
      <c r="M40" s="34" t="str">
        <f t="shared" si="8"/>
        <v>rokprognozy=2021 i lp=310</v>
      </c>
      <c r="N40" s="34" t="str">
        <f t="shared" si="9"/>
        <v>rokprognozy=2022 i lp=310</v>
      </c>
      <c r="O40" s="34" t="str">
        <f t="shared" si="9"/>
        <v>rokprognozy=2023 i lp=310</v>
      </c>
      <c r="P40" s="34" t="str">
        <f t="shared" si="9"/>
        <v>rokprognozy=2024 i lp=310</v>
      </c>
      <c r="Q40" s="34" t="str">
        <f t="shared" si="9"/>
        <v>rokprognozy=2025 i lp=310</v>
      </c>
      <c r="R40" s="34" t="str">
        <f t="shared" si="9"/>
        <v>rokprognozy=2026 i lp=310</v>
      </c>
      <c r="S40" s="34" t="str">
        <f t="shared" si="9"/>
        <v>rokprognozy=2027 i lp=310</v>
      </c>
      <c r="T40" s="34" t="str">
        <f t="shared" si="9"/>
        <v>rokprognozy=2028 i lp=310</v>
      </c>
      <c r="U40" s="34" t="str">
        <f t="shared" si="9"/>
        <v>rokprognozy=2029 i lp=310</v>
      </c>
      <c r="V40" s="34" t="str">
        <f t="shared" si="9"/>
        <v>rokprognozy=2030 i lp=310</v>
      </c>
      <c r="W40" s="34" t="str">
        <f t="shared" si="9"/>
        <v>rokprognozy=2031 i lp=310</v>
      </c>
      <c r="X40" s="34" t="str">
        <f t="shared" si="9"/>
        <v>rokprognozy=2032 i lp=310</v>
      </c>
      <c r="Y40" s="34" t="str">
        <f t="shared" si="9"/>
        <v>rokprognozy=2033 i lp=310</v>
      </c>
      <c r="Z40" s="34" t="str">
        <f t="shared" si="9"/>
        <v>rokprognozy=2034 i lp=310</v>
      </c>
      <c r="AA40" s="34" t="str">
        <f t="shared" si="9"/>
        <v>rokprognozy=2035 i lp=310</v>
      </c>
      <c r="AB40" s="34" t="str">
        <f t="shared" si="9"/>
        <v>rokprognozy=2036 i lp=310</v>
      </c>
      <c r="AC40" s="34" t="str">
        <f t="shared" si="9"/>
        <v>rokprognozy=2037 i lp=310</v>
      </c>
      <c r="AD40" s="34" t="str">
        <f t="shared" ref="AD40:AG59" si="10">+"rokprognozy="&amp;AD$9&amp;" i lp="&amp;$A40</f>
        <v>rokprognozy=2038 i lp=310</v>
      </c>
      <c r="AE40" s="34" t="str">
        <f t="shared" si="10"/>
        <v>rokprognozy=2039 i lp=310</v>
      </c>
      <c r="AF40" s="34" t="str">
        <f t="shared" si="10"/>
        <v>rokprognozy=2040 i lp=310</v>
      </c>
      <c r="AG40" s="34" t="str">
        <f t="shared" si="10"/>
        <v>rokprognozy=2041 i lp=310</v>
      </c>
      <c r="AH40" s="34" t="str">
        <f t="shared" ref="AH40:AH59" si="11">+"rokprognozy="&amp;AH$9&amp;" i lp="&amp;$A40</f>
        <v>rokprognozy=2042 i lp=310</v>
      </c>
    </row>
    <row r="41" spans="1:34">
      <c r="A41" s="33">
        <v>320</v>
      </c>
      <c r="B41" s="33" t="s">
        <v>80</v>
      </c>
      <c r="C41" s="34" t="s">
        <v>81</v>
      </c>
      <c r="D41" s="34" t="str">
        <f t="shared" si="3"/>
        <v>rokprognozy=2013 i lp=320</v>
      </c>
      <c r="E41" s="34" t="str">
        <f t="shared" si="8"/>
        <v>rokprognozy=2013 i lp=320</v>
      </c>
      <c r="F41" s="34" t="str">
        <f t="shared" si="8"/>
        <v>rokprognozy=2014 i lp=320</v>
      </c>
      <c r="G41" s="34" t="str">
        <f t="shared" si="8"/>
        <v>rokprognozy=2015 i lp=320</v>
      </c>
      <c r="H41" s="34" t="str">
        <f t="shared" si="8"/>
        <v>rokprognozy=2016 i lp=320</v>
      </c>
      <c r="I41" s="34" t="str">
        <f t="shared" si="8"/>
        <v>rokprognozy=2017 i lp=320</v>
      </c>
      <c r="J41" s="34" t="str">
        <f t="shared" si="8"/>
        <v>rokprognozy=2018 i lp=320</v>
      </c>
      <c r="K41" s="34" t="str">
        <f t="shared" si="8"/>
        <v>rokprognozy=2019 i lp=320</v>
      </c>
      <c r="L41" s="34" t="str">
        <f t="shared" si="8"/>
        <v>rokprognozy=2020 i lp=320</v>
      </c>
      <c r="M41" s="34" t="str">
        <f t="shared" si="8"/>
        <v>rokprognozy=2021 i lp=320</v>
      </c>
      <c r="N41" s="34" t="str">
        <f t="shared" si="9"/>
        <v>rokprognozy=2022 i lp=320</v>
      </c>
      <c r="O41" s="34" t="str">
        <f t="shared" si="9"/>
        <v>rokprognozy=2023 i lp=320</v>
      </c>
      <c r="P41" s="34" t="str">
        <f t="shared" si="9"/>
        <v>rokprognozy=2024 i lp=320</v>
      </c>
      <c r="Q41" s="34" t="str">
        <f t="shared" si="9"/>
        <v>rokprognozy=2025 i lp=320</v>
      </c>
      <c r="R41" s="34" t="str">
        <f t="shared" si="9"/>
        <v>rokprognozy=2026 i lp=320</v>
      </c>
      <c r="S41" s="34" t="str">
        <f t="shared" si="9"/>
        <v>rokprognozy=2027 i lp=320</v>
      </c>
      <c r="T41" s="34" t="str">
        <f t="shared" si="9"/>
        <v>rokprognozy=2028 i lp=320</v>
      </c>
      <c r="U41" s="34" t="str">
        <f t="shared" si="9"/>
        <v>rokprognozy=2029 i lp=320</v>
      </c>
      <c r="V41" s="34" t="str">
        <f t="shared" si="9"/>
        <v>rokprognozy=2030 i lp=320</v>
      </c>
      <c r="W41" s="34" t="str">
        <f t="shared" si="9"/>
        <v>rokprognozy=2031 i lp=320</v>
      </c>
      <c r="X41" s="34" t="str">
        <f t="shared" si="9"/>
        <v>rokprognozy=2032 i lp=320</v>
      </c>
      <c r="Y41" s="34" t="str">
        <f t="shared" si="9"/>
        <v>rokprognozy=2033 i lp=320</v>
      </c>
      <c r="Z41" s="34" t="str">
        <f t="shared" si="9"/>
        <v>rokprognozy=2034 i lp=320</v>
      </c>
      <c r="AA41" s="34" t="str">
        <f t="shared" si="9"/>
        <v>rokprognozy=2035 i lp=320</v>
      </c>
      <c r="AB41" s="34" t="str">
        <f t="shared" si="9"/>
        <v>rokprognozy=2036 i lp=320</v>
      </c>
      <c r="AC41" s="34" t="str">
        <f t="shared" si="9"/>
        <v>rokprognozy=2037 i lp=320</v>
      </c>
      <c r="AD41" s="34" t="str">
        <f t="shared" si="10"/>
        <v>rokprognozy=2038 i lp=320</v>
      </c>
      <c r="AE41" s="34" t="str">
        <f t="shared" si="10"/>
        <v>rokprognozy=2039 i lp=320</v>
      </c>
      <c r="AF41" s="34" t="str">
        <f t="shared" si="10"/>
        <v>rokprognozy=2040 i lp=320</v>
      </c>
      <c r="AG41" s="34" t="str">
        <f t="shared" si="10"/>
        <v>rokprognozy=2041 i lp=320</v>
      </c>
      <c r="AH41" s="34" t="str">
        <f t="shared" si="11"/>
        <v>rokprognozy=2042 i lp=320</v>
      </c>
    </row>
    <row r="42" spans="1:34">
      <c r="A42" s="33">
        <v>330</v>
      </c>
      <c r="B42" s="33" t="s">
        <v>82</v>
      </c>
      <c r="C42" s="34" t="s">
        <v>83</v>
      </c>
      <c r="D42" s="34" t="str">
        <f t="shared" si="3"/>
        <v>rokprognozy=2013 i lp=330</v>
      </c>
      <c r="E42" s="34" t="str">
        <f t="shared" si="8"/>
        <v>rokprognozy=2013 i lp=330</v>
      </c>
      <c r="F42" s="34" t="str">
        <f t="shared" si="8"/>
        <v>rokprognozy=2014 i lp=330</v>
      </c>
      <c r="G42" s="34" t="str">
        <f t="shared" si="8"/>
        <v>rokprognozy=2015 i lp=330</v>
      </c>
      <c r="H42" s="34" t="str">
        <f t="shared" si="8"/>
        <v>rokprognozy=2016 i lp=330</v>
      </c>
      <c r="I42" s="34" t="str">
        <f t="shared" si="8"/>
        <v>rokprognozy=2017 i lp=330</v>
      </c>
      <c r="J42" s="34" t="str">
        <f t="shared" si="8"/>
        <v>rokprognozy=2018 i lp=330</v>
      </c>
      <c r="K42" s="34" t="str">
        <f t="shared" si="8"/>
        <v>rokprognozy=2019 i lp=330</v>
      </c>
      <c r="L42" s="34" t="str">
        <f t="shared" si="8"/>
        <v>rokprognozy=2020 i lp=330</v>
      </c>
      <c r="M42" s="34" t="str">
        <f t="shared" si="8"/>
        <v>rokprognozy=2021 i lp=330</v>
      </c>
      <c r="N42" s="34" t="str">
        <f t="shared" si="9"/>
        <v>rokprognozy=2022 i lp=330</v>
      </c>
      <c r="O42" s="34" t="str">
        <f t="shared" si="9"/>
        <v>rokprognozy=2023 i lp=330</v>
      </c>
      <c r="P42" s="34" t="str">
        <f t="shared" si="9"/>
        <v>rokprognozy=2024 i lp=330</v>
      </c>
      <c r="Q42" s="34" t="str">
        <f t="shared" si="9"/>
        <v>rokprognozy=2025 i lp=330</v>
      </c>
      <c r="R42" s="34" t="str">
        <f t="shared" si="9"/>
        <v>rokprognozy=2026 i lp=330</v>
      </c>
      <c r="S42" s="34" t="str">
        <f t="shared" si="9"/>
        <v>rokprognozy=2027 i lp=330</v>
      </c>
      <c r="T42" s="34" t="str">
        <f t="shared" si="9"/>
        <v>rokprognozy=2028 i lp=330</v>
      </c>
      <c r="U42" s="34" t="str">
        <f t="shared" si="9"/>
        <v>rokprognozy=2029 i lp=330</v>
      </c>
      <c r="V42" s="34" t="str">
        <f t="shared" si="9"/>
        <v>rokprognozy=2030 i lp=330</v>
      </c>
      <c r="W42" s="34" t="str">
        <f t="shared" si="9"/>
        <v>rokprognozy=2031 i lp=330</v>
      </c>
      <c r="X42" s="34" t="str">
        <f t="shared" si="9"/>
        <v>rokprognozy=2032 i lp=330</v>
      </c>
      <c r="Y42" s="34" t="str">
        <f t="shared" si="9"/>
        <v>rokprognozy=2033 i lp=330</v>
      </c>
      <c r="Z42" s="34" t="str">
        <f t="shared" si="9"/>
        <v>rokprognozy=2034 i lp=330</v>
      </c>
      <c r="AA42" s="34" t="str">
        <f t="shared" si="9"/>
        <v>rokprognozy=2035 i lp=330</v>
      </c>
      <c r="AB42" s="34" t="str">
        <f t="shared" si="9"/>
        <v>rokprognozy=2036 i lp=330</v>
      </c>
      <c r="AC42" s="34" t="str">
        <f t="shared" si="9"/>
        <v>rokprognozy=2037 i lp=330</v>
      </c>
      <c r="AD42" s="34" t="str">
        <f t="shared" si="10"/>
        <v>rokprognozy=2038 i lp=330</v>
      </c>
      <c r="AE42" s="34" t="str">
        <f t="shared" si="10"/>
        <v>rokprognozy=2039 i lp=330</v>
      </c>
      <c r="AF42" s="34" t="str">
        <f t="shared" si="10"/>
        <v>rokprognozy=2040 i lp=330</v>
      </c>
      <c r="AG42" s="34" t="str">
        <f t="shared" si="10"/>
        <v>rokprognozy=2041 i lp=330</v>
      </c>
      <c r="AH42" s="34" t="str">
        <f t="shared" si="11"/>
        <v>rokprognozy=2042 i lp=330</v>
      </c>
    </row>
    <row r="43" spans="1:34">
      <c r="A43" s="33">
        <v>340</v>
      </c>
      <c r="B43" s="33">
        <v>5.2</v>
      </c>
      <c r="C43" s="34" t="s">
        <v>84</v>
      </c>
      <c r="D43" s="34" t="str">
        <f t="shared" si="3"/>
        <v>rokprognozy=2013 i lp=340</v>
      </c>
      <c r="E43" s="34" t="str">
        <f t="shared" si="8"/>
        <v>rokprognozy=2013 i lp=340</v>
      </c>
      <c r="F43" s="34" t="str">
        <f t="shared" si="8"/>
        <v>rokprognozy=2014 i lp=340</v>
      </c>
      <c r="G43" s="34" t="str">
        <f t="shared" si="8"/>
        <v>rokprognozy=2015 i lp=340</v>
      </c>
      <c r="H43" s="34" t="str">
        <f t="shared" si="8"/>
        <v>rokprognozy=2016 i lp=340</v>
      </c>
      <c r="I43" s="34" t="str">
        <f t="shared" si="8"/>
        <v>rokprognozy=2017 i lp=340</v>
      </c>
      <c r="J43" s="34" t="str">
        <f t="shared" si="8"/>
        <v>rokprognozy=2018 i lp=340</v>
      </c>
      <c r="K43" s="34" t="str">
        <f t="shared" si="8"/>
        <v>rokprognozy=2019 i lp=340</v>
      </c>
      <c r="L43" s="34" t="str">
        <f t="shared" si="8"/>
        <v>rokprognozy=2020 i lp=340</v>
      </c>
      <c r="M43" s="34" t="str">
        <f t="shared" si="8"/>
        <v>rokprognozy=2021 i lp=340</v>
      </c>
      <c r="N43" s="34" t="str">
        <f t="shared" si="9"/>
        <v>rokprognozy=2022 i lp=340</v>
      </c>
      <c r="O43" s="34" t="str">
        <f t="shared" si="9"/>
        <v>rokprognozy=2023 i lp=340</v>
      </c>
      <c r="P43" s="34" t="str">
        <f t="shared" si="9"/>
        <v>rokprognozy=2024 i lp=340</v>
      </c>
      <c r="Q43" s="34" t="str">
        <f t="shared" si="9"/>
        <v>rokprognozy=2025 i lp=340</v>
      </c>
      <c r="R43" s="34" t="str">
        <f t="shared" si="9"/>
        <v>rokprognozy=2026 i lp=340</v>
      </c>
      <c r="S43" s="34" t="str">
        <f t="shared" si="9"/>
        <v>rokprognozy=2027 i lp=340</v>
      </c>
      <c r="T43" s="34" t="str">
        <f t="shared" si="9"/>
        <v>rokprognozy=2028 i lp=340</v>
      </c>
      <c r="U43" s="34" t="str">
        <f t="shared" si="9"/>
        <v>rokprognozy=2029 i lp=340</v>
      </c>
      <c r="V43" s="34" t="str">
        <f t="shared" si="9"/>
        <v>rokprognozy=2030 i lp=340</v>
      </c>
      <c r="W43" s="34" t="str">
        <f t="shared" si="9"/>
        <v>rokprognozy=2031 i lp=340</v>
      </c>
      <c r="X43" s="34" t="str">
        <f t="shared" si="9"/>
        <v>rokprognozy=2032 i lp=340</v>
      </c>
      <c r="Y43" s="34" t="str">
        <f t="shared" si="9"/>
        <v>rokprognozy=2033 i lp=340</v>
      </c>
      <c r="Z43" s="34" t="str">
        <f t="shared" si="9"/>
        <v>rokprognozy=2034 i lp=340</v>
      </c>
      <c r="AA43" s="34" t="str">
        <f t="shared" si="9"/>
        <v>rokprognozy=2035 i lp=340</v>
      </c>
      <c r="AB43" s="34" t="str">
        <f t="shared" si="9"/>
        <v>rokprognozy=2036 i lp=340</v>
      </c>
      <c r="AC43" s="34" t="str">
        <f t="shared" si="9"/>
        <v>rokprognozy=2037 i lp=340</v>
      </c>
      <c r="AD43" s="34" t="str">
        <f t="shared" si="10"/>
        <v>rokprognozy=2038 i lp=340</v>
      </c>
      <c r="AE43" s="34" t="str">
        <f t="shared" si="10"/>
        <v>rokprognozy=2039 i lp=340</v>
      </c>
      <c r="AF43" s="34" t="str">
        <f t="shared" si="10"/>
        <v>rokprognozy=2040 i lp=340</v>
      </c>
      <c r="AG43" s="34" t="str">
        <f t="shared" si="10"/>
        <v>rokprognozy=2041 i lp=340</v>
      </c>
      <c r="AH43" s="34" t="str">
        <f t="shared" si="11"/>
        <v>rokprognozy=2042 i lp=340</v>
      </c>
    </row>
    <row r="44" spans="1:34">
      <c r="A44" s="33">
        <v>350</v>
      </c>
      <c r="B44" s="33">
        <v>6</v>
      </c>
      <c r="C44" s="34" t="s">
        <v>25</v>
      </c>
      <c r="D44" s="34" t="str">
        <f t="shared" si="3"/>
        <v>rokprognozy=2013 i lp=350</v>
      </c>
      <c r="E44" s="34" t="str">
        <f t="shared" si="8"/>
        <v>rokprognozy=2013 i lp=350</v>
      </c>
      <c r="F44" s="34" t="str">
        <f t="shared" si="8"/>
        <v>rokprognozy=2014 i lp=350</v>
      </c>
      <c r="G44" s="34" t="str">
        <f t="shared" si="8"/>
        <v>rokprognozy=2015 i lp=350</v>
      </c>
      <c r="H44" s="34" t="str">
        <f t="shared" si="8"/>
        <v>rokprognozy=2016 i lp=350</v>
      </c>
      <c r="I44" s="34" t="str">
        <f t="shared" si="8"/>
        <v>rokprognozy=2017 i lp=350</v>
      </c>
      <c r="J44" s="34" t="str">
        <f t="shared" si="8"/>
        <v>rokprognozy=2018 i lp=350</v>
      </c>
      <c r="K44" s="34" t="str">
        <f t="shared" si="8"/>
        <v>rokprognozy=2019 i lp=350</v>
      </c>
      <c r="L44" s="34" t="str">
        <f t="shared" si="8"/>
        <v>rokprognozy=2020 i lp=350</v>
      </c>
      <c r="M44" s="34" t="str">
        <f t="shared" si="8"/>
        <v>rokprognozy=2021 i lp=350</v>
      </c>
      <c r="N44" s="34" t="str">
        <f t="shared" si="9"/>
        <v>rokprognozy=2022 i lp=350</v>
      </c>
      <c r="O44" s="34" t="str">
        <f t="shared" si="9"/>
        <v>rokprognozy=2023 i lp=350</v>
      </c>
      <c r="P44" s="34" t="str">
        <f t="shared" si="9"/>
        <v>rokprognozy=2024 i lp=350</v>
      </c>
      <c r="Q44" s="34" t="str">
        <f t="shared" si="9"/>
        <v>rokprognozy=2025 i lp=350</v>
      </c>
      <c r="R44" s="34" t="str">
        <f t="shared" si="9"/>
        <v>rokprognozy=2026 i lp=350</v>
      </c>
      <c r="S44" s="34" t="str">
        <f t="shared" si="9"/>
        <v>rokprognozy=2027 i lp=350</v>
      </c>
      <c r="T44" s="34" t="str">
        <f t="shared" si="9"/>
        <v>rokprognozy=2028 i lp=350</v>
      </c>
      <c r="U44" s="34" t="str">
        <f t="shared" si="9"/>
        <v>rokprognozy=2029 i lp=350</v>
      </c>
      <c r="V44" s="34" t="str">
        <f t="shared" si="9"/>
        <v>rokprognozy=2030 i lp=350</v>
      </c>
      <c r="W44" s="34" t="str">
        <f t="shared" si="9"/>
        <v>rokprognozy=2031 i lp=350</v>
      </c>
      <c r="X44" s="34" t="str">
        <f t="shared" si="9"/>
        <v>rokprognozy=2032 i lp=350</v>
      </c>
      <c r="Y44" s="34" t="str">
        <f t="shared" si="9"/>
        <v>rokprognozy=2033 i lp=350</v>
      </c>
      <c r="Z44" s="34" t="str">
        <f t="shared" si="9"/>
        <v>rokprognozy=2034 i lp=350</v>
      </c>
      <c r="AA44" s="34" t="str">
        <f t="shared" si="9"/>
        <v>rokprognozy=2035 i lp=350</v>
      </c>
      <c r="AB44" s="34" t="str">
        <f t="shared" si="9"/>
        <v>rokprognozy=2036 i lp=350</v>
      </c>
      <c r="AC44" s="34" t="str">
        <f t="shared" si="9"/>
        <v>rokprognozy=2037 i lp=350</v>
      </c>
      <c r="AD44" s="34" t="str">
        <f t="shared" si="10"/>
        <v>rokprognozy=2038 i lp=350</v>
      </c>
      <c r="AE44" s="34" t="str">
        <f t="shared" si="10"/>
        <v>rokprognozy=2039 i lp=350</v>
      </c>
      <c r="AF44" s="34" t="str">
        <f t="shared" si="10"/>
        <v>rokprognozy=2040 i lp=350</v>
      </c>
      <c r="AG44" s="34" t="str">
        <f t="shared" si="10"/>
        <v>rokprognozy=2041 i lp=350</v>
      </c>
      <c r="AH44" s="34" t="str">
        <f t="shared" si="11"/>
        <v>rokprognozy=2042 i lp=350</v>
      </c>
    </row>
    <row r="45" spans="1:34">
      <c r="A45" s="33">
        <v>360</v>
      </c>
      <c r="B45" s="33">
        <v>6.1</v>
      </c>
      <c r="C45" s="34" t="s">
        <v>85</v>
      </c>
      <c r="D45" s="34" t="str">
        <f t="shared" si="3"/>
        <v>rokprognozy=2013 i lp=360</v>
      </c>
      <c r="E45" s="34" t="str">
        <f t="shared" si="8"/>
        <v>rokprognozy=2013 i lp=360</v>
      </c>
      <c r="F45" s="34" t="str">
        <f t="shared" si="8"/>
        <v>rokprognozy=2014 i lp=360</v>
      </c>
      <c r="G45" s="34" t="str">
        <f t="shared" si="8"/>
        <v>rokprognozy=2015 i lp=360</v>
      </c>
      <c r="H45" s="34" t="str">
        <f t="shared" si="8"/>
        <v>rokprognozy=2016 i lp=360</v>
      </c>
      <c r="I45" s="34" t="str">
        <f t="shared" si="8"/>
        <v>rokprognozy=2017 i lp=360</v>
      </c>
      <c r="J45" s="34" t="str">
        <f t="shared" si="8"/>
        <v>rokprognozy=2018 i lp=360</v>
      </c>
      <c r="K45" s="34" t="str">
        <f t="shared" si="8"/>
        <v>rokprognozy=2019 i lp=360</v>
      </c>
      <c r="L45" s="34" t="str">
        <f t="shared" si="8"/>
        <v>rokprognozy=2020 i lp=360</v>
      </c>
      <c r="M45" s="34" t="str">
        <f t="shared" si="8"/>
        <v>rokprognozy=2021 i lp=360</v>
      </c>
      <c r="N45" s="34" t="str">
        <f t="shared" si="9"/>
        <v>rokprognozy=2022 i lp=360</v>
      </c>
      <c r="O45" s="34" t="str">
        <f t="shared" si="9"/>
        <v>rokprognozy=2023 i lp=360</v>
      </c>
      <c r="P45" s="34" t="str">
        <f t="shared" si="9"/>
        <v>rokprognozy=2024 i lp=360</v>
      </c>
      <c r="Q45" s="34" t="str">
        <f t="shared" si="9"/>
        <v>rokprognozy=2025 i lp=360</v>
      </c>
      <c r="R45" s="34" t="str">
        <f t="shared" si="9"/>
        <v>rokprognozy=2026 i lp=360</v>
      </c>
      <c r="S45" s="34" t="str">
        <f t="shared" si="9"/>
        <v>rokprognozy=2027 i lp=360</v>
      </c>
      <c r="T45" s="34" t="str">
        <f t="shared" si="9"/>
        <v>rokprognozy=2028 i lp=360</v>
      </c>
      <c r="U45" s="34" t="str">
        <f t="shared" si="9"/>
        <v>rokprognozy=2029 i lp=360</v>
      </c>
      <c r="V45" s="34" t="str">
        <f t="shared" si="9"/>
        <v>rokprognozy=2030 i lp=360</v>
      </c>
      <c r="W45" s="34" t="str">
        <f t="shared" si="9"/>
        <v>rokprognozy=2031 i lp=360</v>
      </c>
      <c r="X45" s="34" t="str">
        <f t="shared" si="9"/>
        <v>rokprognozy=2032 i lp=360</v>
      </c>
      <c r="Y45" s="34" t="str">
        <f t="shared" si="9"/>
        <v>rokprognozy=2033 i lp=360</v>
      </c>
      <c r="Z45" s="34" t="str">
        <f t="shared" si="9"/>
        <v>rokprognozy=2034 i lp=360</v>
      </c>
      <c r="AA45" s="34" t="str">
        <f t="shared" si="9"/>
        <v>rokprognozy=2035 i lp=360</v>
      </c>
      <c r="AB45" s="34" t="str">
        <f t="shared" si="9"/>
        <v>rokprognozy=2036 i lp=360</v>
      </c>
      <c r="AC45" s="34" t="str">
        <f t="shared" si="9"/>
        <v>rokprognozy=2037 i lp=360</v>
      </c>
      <c r="AD45" s="34" t="str">
        <f t="shared" si="10"/>
        <v>rokprognozy=2038 i lp=360</v>
      </c>
      <c r="AE45" s="34" t="str">
        <f t="shared" si="10"/>
        <v>rokprognozy=2039 i lp=360</v>
      </c>
      <c r="AF45" s="34" t="str">
        <f t="shared" si="10"/>
        <v>rokprognozy=2040 i lp=360</v>
      </c>
      <c r="AG45" s="34" t="str">
        <f t="shared" si="10"/>
        <v>rokprognozy=2041 i lp=360</v>
      </c>
      <c r="AH45" s="34" t="str">
        <f t="shared" si="11"/>
        <v>rokprognozy=2042 i lp=360</v>
      </c>
    </row>
    <row r="46" spans="1:34">
      <c r="A46" s="33">
        <v>370</v>
      </c>
      <c r="B46" s="33" t="s">
        <v>86</v>
      </c>
      <c r="C46" s="34" t="s">
        <v>87</v>
      </c>
      <c r="D46" s="34" t="str">
        <f t="shared" si="3"/>
        <v>rokprognozy=2013 i lp=370</v>
      </c>
      <c r="E46" s="34" t="str">
        <f t="shared" si="8"/>
        <v>rokprognozy=2013 i lp=370</v>
      </c>
      <c r="F46" s="34" t="str">
        <f t="shared" si="8"/>
        <v>rokprognozy=2014 i lp=370</v>
      </c>
      <c r="G46" s="34" t="str">
        <f t="shared" si="8"/>
        <v>rokprognozy=2015 i lp=370</v>
      </c>
      <c r="H46" s="34" t="str">
        <f t="shared" si="8"/>
        <v>rokprognozy=2016 i lp=370</v>
      </c>
      <c r="I46" s="34" t="str">
        <f t="shared" si="8"/>
        <v>rokprognozy=2017 i lp=370</v>
      </c>
      <c r="J46" s="34" t="str">
        <f t="shared" si="8"/>
        <v>rokprognozy=2018 i lp=370</v>
      </c>
      <c r="K46" s="34" t="str">
        <f t="shared" si="8"/>
        <v>rokprognozy=2019 i lp=370</v>
      </c>
      <c r="L46" s="34" t="str">
        <f t="shared" si="8"/>
        <v>rokprognozy=2020 i lp=370</v>
      </c>
      <c r="M46" s="34" t="str">
        <f t="shared" si="8"/>
        <v>rokprognozy=2021 i lp=370</v>
      </c>
      <c r="N46" s="34" t="str">
        <f t="shared" si="9"/>
        <v>rokprognozy=2022 i lp=370</v>
      </c>
      <c r="O46" s="34" t="str">
        <f t="shared" si="9"/>
        <v>rokprognozy=2023 i lp=370</v>
      </c>
      <c r="P46" s="34" t="str">
        <f t="shared" si="9"/>
        <v>rokprognozy=2024 i lp=370</v>
      </c>
      <c r="Q46" s="34" t="str">
        <f t="shared" si="9"/>
        <v>rokprognozy=2025 i lp=370</v>
      </c>
      <c r="R46" s="34" t="str">
        <f t="shared" si="9"/>
        <v>rokprognozy=2026 i lp=370</v>
      </c>
      <c r="S46" s="34" t="str">
        <f t="shared" si="9"/>
        <v>rokprognozy=2027 i lp=370</v>
      </c>
      <c r="T46" s="34" t="str">
        <f t="shared" si="9"/>
        <v>rokprognozy=2028 i lp=370</v>
      </c>
      <c r="U46" s="34" t="str">
        <f t="shared" si="9"/>
        <v>rokprognozy=2029 i lp=370</v>
      </c>
      <c r="V46" s="34" t="str">
        <f t="shared" si="9"/>
        <v>rokprognozy=2030 i lp=370</v>
      </c>
      <c r="W46" s="34" t="str">
        <f t="shared" si="9"/>
        <v>rokprognozy=2031 i lp=370</v>
      </c>
      <c r="X46" s="34" t="str">
        <f t="shared" si="9"/>
        <v>rokprognozy=2032 i lp=370</v>
      </c>
      <c r="Y46" s="34" t="str">
        <f t="shared" si="9"/>
        <v>rokprognozy=2033 i lp=370</v>
      </c>
      <c r="Z46" s="34" t="str">
        <f t="shared" si="9"/>
        <v>rokprognozy=2034 i lp=370</v>
      </c>
      <c r="AA46" s="34" t="str">
        <f t="shared" si="9"/>
        <v>rokprognozy=2035 i lp=370</v>
      </c>
      <c r="AB46" s="34" t="str">
        <f t="shared" si="9"/>
        <v>rokprognozy=2036 i lp=370</v>
      </c>
      <c r="AC46" s="34" t="str">
        <f t="shared" si="9"/>
        <v>rokprognozy=2037 i lp=370</v>
      </c>
      <c r="AD46" s="34" t="str">
        <f t="shared" si="10"/>
        <v>rokprognozy=2038 i lp=370</v>
      </c>
      <c r="AE46" s="34" t="str">
        <f t="shared" si="10"/>
        <v>rokprognozy=2039 i lp=370</v>
      </c>
      <c r="AF46" s="34" t="str">
        <f t="shared" si="10"/>
        <v>rokprognozy=2040 i lp=370</v>
      </c>
      <c r="AG46" s="34" t="str">
        <f t="shared" si="10"/>
        <v>rokprognozy=2041 i lp=370</v>
      </c>
      <c r="AH46" s="34" t="str">
        <f t="shared" si="11"/>
        <v>rokprognozy=2042 i lp=370</v>
      </c>
    </row>
    <row r="47" spans="1:34">
      <c r="A47" s="33">
        <v>380</v>
      </c>
      <c r="B47" s="33">
        <v>6.2</v>
      </c>
      <c r="C47" s="34" t="s">
        <v>88</v>
      </c>
      <c r="D47" s="34" t="str">
        <f t="shared" si="3"/>
        <v>rokprognozy=2013 i lp=380</v>
      </c>
      <c r="E47" s="34" t="str">
        <f t="shared" si="8"/>
        <v>rokprognozy=2013 i lp=380</v>
      </c>
      <c r="F47" s="34" t="str">
        <f t="shared" si="8"/>
        <v>rokprognozy=2014 i lp=380</v>
      </c>
      <c r="G47" s="34" t="str">
        <f t="shared" si="8"/>
        <v>rokprognozy=2015 i lp=380</v>
      </c>
      <c r="H47" s="34" t="str">
        <f t="shared" si="8"/>
        <v>rokprognozy=2016 i lp=380</v>
      </c>
      <c r="I47" s="34" t="str">
        <f t="shared" si="8"/>
        <v>rokprognozy=2017 i lp=380</v>
      </c>
      <c r="J47" s="34" t="str">
        <f t="shared" si="8"/>
        <v>rokprognozy=2018 i lp=380</v>
      </c>
      <c r="K47" s="34" t="str">
        <f t="shared" si="8"/>
        <v>rokprognozy=2019 i lp=380</v>
      </c>
      <c r="L47" s="34" t="str">
        <f t="shared" si="8"/>
        <v>rokprognozy=2020 i lp=380</v>
      </c>
      <c r="M47" s="34" t="str">
        <f t="shared" si="8"/>
        <v>rokprognozy=2021 i lp=380</v>
      </c>
      <c r="N47" s="34" t="str">
        <f t="shared" si="9"/>
        <v>rokprognozy=2022 i lp=380</v>
      </c>
      <c r="O47" s="34" t="str">
        <f t="shared" si="9"/>
        <v>rokprognozy=2023 i lp=380</v>
      </c>
      <c r="P47" s="34" t="str">
        <f t="shared" si="9"/>
        <v>rokprognozy=2024 i lp=380</v>
      </c>
      <c r="Q47" s="34" t="str">
        <f t="shared" si="9"/>
        <v>rokprognozy=2025 i lp=380</v>
      </c>
      <c r="R47" s="34" t="str">
        <f t="shared" si="9"/>
        <v>rokprognozy=2026 i lp=380</v>
      </c>
      <c r="S47" s="34" t="str">
        <f t="shared" si="9"/>
        <v>rokprognozy=2027 i lp=380</v>
      </c>
      <c r="T47" s="34" t="str">
        <f t="shared" si="9"/>
        <v>rokprognozy=2028 i lp=380</v>
      </c>
      <c r="U47" s="34" t="str">
        <f t="shared" si="9"/>
        <v>rokprognozy=2029 i lp=380</v>
      </c>
      <c r="V47" s="34" t="str">
        <f t="shared" si="9"/>
        <v>rokprognozy=2030 i lp=380</v>
      </c>
      <c r="W47" s="34" t="str">
        <f t="shared" si="9"/>
        <v>rokprognozy=2031 i lp=380</v>
      </c>
      <c r="X47" s="34" t="str">
        <f t="shared" si="9"/>
        <v>rokprognozy=2032 i lp=380</v>
      </c>
      <c r="Y47" s="34" t="str">
        <f t="shared" si="9"/>
        <v>rokprognozy=2033 i lp=380</v>
      </c>
      <c r="Z47" s="34" t="str">
        <f t="shared" si="9"/>
        <v>rokprognozy=2034 i lp=380</v>
      </c>
      <c r="AA47" s="34" t="str">
        <f t="shared" si="9"/>
        <v>rokprognozy=2035 i lp=380</v>
      </c>
      <c r="AB47" s="34" t="str">
        <f t="shared" si="9"/>
        <v>rokprognozy=2036 i lp=380</v>
      </c>
      <c r="AC47" s="34" t="str">
        <f t="shared" si="9"/>
        <v>rokprognozy=2037 i lp=380</v>
      </c>
      <c r="AD47" s="34" t="str">
        <f t="shared" si="10"/>
        <v>rokprognozy=2038 i lp=380</v>
      </c>
      <c r="AE47" s="34" t="str">
        <f t="shared" si="10"/>
        <v>rokprognozy=2039 i lp=380</v>
      </c>
      <c r="AF47" s="34" t="str">
        <f t="shared" si="10"/>
        <v>rokprognozy=2040 i lp=380</v>
      </c>
      <c r="AG47" s="34" t="str">
        <f t="shared" si="10"/>
        <v>rokprognozy=2041 i lp=380</v>
      </c>
      <c r="AH47" s="34" t="str">
        <f t="shared" si="11"/>
        <v>rokprognozy=2042 i lp=380</v>
      </c>
    </row>
    <row r="48" spans="1:34">
      <c r="A48" s="33">
        <v>390</v>
      </c>
      <c r="B48" s="33">
        <v>6.3</v>
      </c>
      <c r="C48" s="34" t="s">
        <v>89</v>
      </c>
      <c r="D48" s="34" t="str">
        <f t="shared" si="3"/>
        <v>rokprognozy=2013 i lp=390</v>
      </c>
      <c r="E48" s="34" t="str">
        <f t="shared" si="8"/>
        <v>rokprognozy=2013 i lp=390</v>
      </c>
      <c r="F48" s="34" t="str">
        <f t="shared" si="8"/>
        <v>rokprognozy=2014 i lp=390</v>
      </c>
      <c r="G48" s="34" t="str">
        <f t="shared" si="8"/>
        <v>rokprognozy=2015 i lp=390</v>
      </c>
      <c r="H48" s="34" t="str">
        <f t="shared" si="8"/>
        <v>rokprognozy=2016 i lp=390</v>
      </c>
      <c r="I48" s="34" t="str">
        <f t="shared" si="8"/>
        <v>rokprognozy=2017 i lp=390</v>
      </c>
      <c r="J48" s="34" t="str">
        <f t="shared" si="8"/>
        <v>rokprognozy=2018 i lp=390</v>
      </c>
      <c r="K48" s="34" t="str">
        <f t="shared" si="8"/>
        <v>rokprognozy=2019 i lp=390</v>
      </c>
      <c r="L48" s="34" t="str">
        <f t="shared" si="8"/>
        <v>rokprognozy=2020 i lp=390</v>
      </c>
      <c r="M48" s="34" t="str">
        <f t="shared" si="8"/>
        <v>rokprognozy=2021 i lp=390</v>
      </c>
      <c r="N48" s="34" t="str">
        <f t="shared" si="9"/>
        <v>rokprognozy=2022 i lp=390</v>
      </c>
      <c r="O48" s="34" t="str">
        <f t="shared" si="9"/>
        <v>rokprognozy=2023 i lp=390</v>
      </c>
      <c r="P48" s="34" t="str">
        <f t="shared" si="9"/>
        <v>rokprognozy=2024 i lp=390</v>
      </c>
      <c r="Q48" s="34" t="str">
        <f t="shared" si="9"/>
        <v>rokprognozy=2025 i lp=390</v>
      </c>
      <c r="R48" s="34" t="str">
        <f t="shared" si="9"/>
        <v>rokprognozy=2026 i lp=390</v>
      </c>
      <c r="S48" s="34" t="str">
        <f t="shared" si="9"/>
        <v>rokprognozy=2027 i lp=390</v>
      </c>
      <c r="T48" s="34" t="str">
        <f t="shared" si="9"/>
        <v>rokprognozy=2028 i lp=390</v>
      </c>
      <c r="U48" s="34" t="str">
        <f t="shared" si="9"/>
        <v>rokprognozy=2029 i lp=390</v>
      </c>
      <c r="V48" s="34" t="str">
        <f t="shared" si="9"/>
        <v>rokprognozy=2030 i lp=390</v>
      </c>
      <c r="W48" s="34" t="str">
        <f t="shared" si="9"/>
        <v>rokprognozy=2031 i lp=390</v>
      </c>
      <c r="X48" s="34" t="str">
        <f t="shared" si="9"/>
        <v>rokprognozy=2032 i lp=390</v>
      </c>
      <c r="Y48" s="34" t="str">
        <f t="shared" si="9"/>
        <v>rokprognozy=2033 i lp=390</v>
      </c>
      <c r="Z48" s="34" t="str">
        <f t="shared" si="9"/>
        <v>rokprognozy=2034 i lp=390</v>
      </c>
      <c r="AA48" s="34" t="str">
        <f t="shared" si="9"/>
        <v>rokprognozy=2035 i lp=390</v>
      </c>
      <c r="AB48" s="34" t="str">
        <f t="shared" si="9"/>
        <v>rokprognozy=2036 i lp=390</v>
      </c>
      <c r="AC48" s="34" t="str">
        <f t="shared" si="9"/>
        <v>rokprognozy=2037 i lp=390</v>
      </c>
      <c r="AD48" s="34" t="str">
        <f t="shared" si="10"/>
        <v>rokprognozy=2038 i lp=390</v>
      </c>
      <c r="AE48" s="34" t="str">
        <f t="shared" si="10"/>
        <v>rokprognozy=2039 i lp=390</v>
      </c>
      <c r="AF48" s="34" t="str">
        <f t="shared" si="10"/>
        <v>rokprognozy=2040 i lp=390</v>
      </c>
      <c r="AG48" s="34" t="str">
        <f t="shared" si="10"/>
        <v>rokprognozy=2041 i lp=390</v>
      </c>
      <c r="AH48" s="34" t="str">
        <f t="shared" si="11"/>
        <v>rokprognozy=2042 i lp=390</v>
      </c>
    </row>
    <row r="49" spans="1:34">
      <c r="A49" s="33">
        <v>400</v>
      </c>
      <c r="B49" s="33">
        <v>7</v>
      </c>
      <c r="C49" s="34" t="s">
        <v>90</v>
      </c>
      <c r="D49" s="34" t="str">
        <f t="shared" si="3"/>
        <v>rokprognozy=2013 i lp=400</v>
      </c>
      <c r="E49" s="34" t="str">
        <f t="shared" si="8"/>
        <v>rokprognozy=2013 i lp=400</v>
      </c>
      <c r="F49" s="34" t="str">
        <f t="shared" si="8"/>
        <v>rokprognozy=2014 i lp=400</v>
      </c>
      <c r="G49" s="34" t="str">
        <f t="shared" si="8"/>
        <v>rokprognozy=2015 i lp=400</v>
      </c>
      <c r="H49" s="34" t="str">
        <f t="shared" si="8"/>
        <v>rokprognozy=2016 i lp=400</v>
      </c>
      <c r="I49" s="34" t="str">
        <f t="shared" si="8"/>
        <v>rokprognozy=2017 i lp=400</v>
      </c>
      <c r="J49" s="34" t="str">
        <f t="shared" si="8"/>
        <v>rokprognozy=2018 i lp=400</v>
      </c>
      <c r="K49" s="34" t="str">
        <f t="shared" si="8"/>
        <v>rokprognozy=2019 i lp=400</v>
      </c>
      <c r="L49" s="34" t="str">
        <f t="shared" si="8"/>
        <v>rokprognozy=2020 i lp=400</v>
      </c>
      <c r="M49" s="34" t="str">
        <f t="shared" si="8"/>
        <v>rokprognozy=2021 i lp=400</v>
      </c>
      <c r="N49" s="34" t="str">
        <f t="shared" si="9"/>
        <v>rokprognozy=2022 i lp=400</v>
      </c>
      <c r="O49" s="34" t="str">
        <f t="shared" si="9"/>
        <v>rokprognozy=2023 i lp=400</v>
      </c>
      <c r="P49" s="34" t="str">
        <f t="shared" si="9"/>
        <v>rokprognozy=2024 i lp=400</v>
      </c>
      <c r="Q49" s="34" t="str">
        <f t="shared" si="9"/>
        <v>rokprognozy=2025 i lp=400</v>
      </c>
      <c r="R49" s="34" t="str">
        <f t="shared" si="9"/>
        <v>rokprognozy=2026 i lp=400</v>
      </c>
      <c r="S49" s="34" t="str">
        <f t="shared" si="9"/>
        <v>rokprognozy=2027 i lp=400</v>
      </c>
      <c r="T49" s="34" t="str">
        <f t="shared" si="9"/>
        <v>rokprognozy=2028 i lp=400</v>
      </c>
      <c r="U49" s="34" t="str">
        <f t="shared" si="9"/>
        <v>rokprognozy=2029 i lp=400</v>
      </c>
      <c r="V49" s="34" t="str">
        <f t="shared" si="9"/>
        <v>rokprognozy=2030 i lp=400</v>
      </c>
      <c r="W49" s="34" t="str">
        <f t="shared" si="9"/>
        <v>rokprognozy=2031 i lp=400</v>
      </c>
      <c r="X49" s="34" t="str">
        <f t="shared" si="9"/>
        <v>rokprognozy=2032 i lp=400</v>
      </c>
      <c r="Y49" s="34" t="str">
        <f t="shared" si="9"/>
        <v>rokprognozy=2033 i lp=400</v>
      </c>
      <c r="Z49" s="34" t="str">
        <f t="shared" si="9"/>
        <v>rokprognozy=2034 i lp=400</v>
      </c>
      <c r="AA49" s="34" t="str">
        <f t="shared" si="9"/>
        <v>rokprognozy=2035 i lp=400</v>
      </c>
      <c r="AB49" s="34" t="str">
        <f t="shared" si="9"/>
        <v>rokprognozy=2036 i lp=400</v>
      </c>
      <c r="AC49" s="34" t="str">
        <f t="shared" si="9"/>
        <v>rokprognozy=2037 i lp=400</v>
      </c>
      <c r="AD49" s="34" t="str">
        <f t="shared" si="10"/>
        <v>rokprognozy=2038 i lp=400</v>
      </c>
      <c r="AE49" s="34" t="str">
        <f t="shared" si="10"/>
        <v>rokprognozy=2039 i lp=400</v>
      </c>
      <c r="AF49" s="34" t="str">
        <f t="shared" si="10"/>
        <v>rokprognozy=2040 i lp=400</v>
      </c>
      <c r="AG49" s="34" t="str">
        <f t="shared" si="10"/>
        <v>rokprognozy=2041 i lp=400</v>
      </c>
      <c r="AH49" s="34" t="str">
        <f t="shared" si="11"/>
        <v>rokprognozy=2042 i lp=400</v>
      </c>
    </row>
    <row r="50" spans="1:34">
      <c r="A50" s="33">
        <v>410</v>
      </c>
      <c r="D50" s="34" t="str">
        <f t="shared" si="3"/>
        <v>rokprognozy=2013 i lp=410</v>
      </c>
      <c r="E50" s="34" t="str">
        <f t="shared" si="8"/>
        <v>rokprognozy=2013 i lp=410</v>
      </c>
      <c r="F50" s="34" t="str">
        <f t="shared" si="8"/>
        <v>rokprognozy=2014 i lp=410</v>
      </c>
      <c r="G50" s="34" t="str">
        <f t="shared" si="8"/>
        <v>rokprognozy=2015 i lp=410</v>
      </c>
      <c r="H50" s="34" t="str">
        <f t="shared" si="8"/>
        <v>rokprognozy=2016 i lp=410</v>
      </c>
      <c r="I50" s="34" t="str">
        <f t="shared" si="8"/>
        <v>rokprognozy=2017 i lp=410</v>
      </c>
      <c r="J50" s="34" t="str">
        <f t="shared" si="8"/>
        <v>rokprognozy=2018 i lp=410</v>
      </c>
      <c r="K50" s="34" t="str">
        <f t="shared" si="8"/>
        <v>rokprognozy=2019 i lp=410</v>
      </c>
      <c r="L50" s="34" t="str">
        <f t="shared" si="8"/>
        <v>rokprognozy=2020 i lp=410</v>
      </c>
      <c r="M50" s="34" t="str">
        <f t="shared" si="8"/>
        <v>rokprognozy=2021 i lp=410</v>
      </c>
      <c r="N50" s="34" t="str">
        <f t="shared" si="9"/>
        <v>rokprognozy=2022 i lp=410</v>
      </c>
      <c r="O50" s="34" t="str">
        <f t="shared" si="9"/>
        <v>rokprognozy=2023 i lp=410</v>
      </c>
      <c r="P50" s="34" t="str">
        <f t="shared" si="9"/>
        <v>rokprognozy=2024 i lp=410</v>
      </c>
      <c r="Q50" s="34" t="str">
        <f t="shared" si="9"/>
        <v>rokprognozy=2025 i lp=410</v>
      </c>
      <c r="R50" s="34" t="str">
        <f t="shared" si="9"/>
        <v>rokprognozy=2026 i lp=410</v>
      </c>
      <c r="S50" s="34" t="str">
        <f t="shared" si="9"/>
        <v>rokprognozy=2027 i lp=410</v>
      </c>
      <c r="T50" s="34" t="str">
        <f t="shared" si="9"/>
        <v>rokprognozy=2028 i lp=410</v>
      </c>
      <c r="U50" s="34" t="str">
        <f t="shared" si="9"/>
        <v>rokprognozy=2029 i lp=410</v>
      </c>
      <c r="V50" s="34" t="str">
        <f t="shared" si="9"/>
        <v>rokprognozy=2030 i lp=410</v>
      </c>
      <c r="W50" s="34" t="str">
        <f t="shared" si="9"/>
        <v>rokprognozy=2031 i lp=410</v>
      </c>
      <c r="X50" s="34" t="str">
        <f t="shared" si="9"/>
        <v>rokprognozy=2032 i lp=410</v>
      </c>
      <c r="Y50" s="34" t="str">
        <f t="shared" si="9"/>
        <v>rokprognozy=2033 i lp=410</v>
      </c>
      <c r="Z50" s="34" t="str">
        <f t="shared" si="9"/>
        <v>rokprognozy=2034 i lp=410</v>
      </c>
      <c r="AA50" s="34" t="str">
        <f t="shared" si="9"/>
        <v>rokprognozy=2035 i lp=410</v>
      </c>
      <c r="AB50" s="34" t="str">
        <f t="shared" si="9"/>
        <v>rokprognozy=2036 i lp=410</v>
      </c>
      <c r="AC50" s="34" t="str">
        <f t="shared" si="9"/>
        <v>rokprognozy=2037 i lp=410</v>
      </c>
      <c r="AD50" s="34" t="str">
        <f t="shared" si="10"/>
        <v>rokprognozy=2038 i lp=410</v>
      </c>
      <c r="AE50" s="34" t="str">
        <f t="shared" si="10"/>
        <v>rokprognozy=2039 i lp=410</v>
      </c>
      <c r="AF50" s="34" t="str">
        <f t="shared" si="10"/>
        <v>rokprognozy=2040 i lp=410</v>
      </c>
      <c r="AG50" s="34" t="str">
        <f t="shared" si="10"/>
        <v>rokprognozy=2041 i lp=410</v>
      </c>
      <c r="AH50" s="34" t="str">
        <f t="shared" si="11"/>
        <v>rokprognozy=2042 i lp=410</v>
      </c>
    </row>
    <row r="51" spans="1:34">
      <c r="A51" s="33">
        <v>420</v>
      </c>
      <c r="B51" s="33">
        <v>8.1</v>
      </c>
      <c r="C51" s="34" t="s">
        <v>91</v>
      </c>
      <c r="D51" s="34" t="str">
        <f t="shared" si="3"/>
        <v>rokprognozy=2013 i lp=420</v>
      </c>
      <c r="E51" s="34" t="str">
        <f t="shared" si="8"/>
        <v>rokprognozy=2013 i lp=420</v>
      </c>
      <c r="F51" s="34" t="str">
        <f t="shared" si="8"/>
        <v>rokprognozy=2014 i lp=420</v>
      </c>
      <c r="G51" s="34" t="str">
        <f t="shared" si="8"/>
        <v>rokprognozy=2015 i lp=420</v>
      </c>
      <c r="H51" s="34" t="str">
        <f t="shared" si="8"/>
        <v>rokprognozy=2016 i lp=420</v>
      </c>
      <c r="I51" s="34" t="str">
        <f t="shared" si="8"/>
        <v>rokprognozy=2017 i lp=420</v>
      </c>
      <c r="J51" s="34" t="str">
        <f t="shared" si="8"/>
        <v>rokprognozy=2018 i lp=420</v>
      </c>
      <c r="K51" s="34" t="str">
        <f t="shared" si="8"/>
        <v>rokprognozy=2019 i lp=420</v>
      </c>
      <c r="L51" s="34" t="str">
        <f t="shared" si="8"/>
        <v>rokprognozy=2020 i lp=420</v>
      </c>
      <c r="M51" s="34" t="str">
        <f t="shared" si="8"/>
        <v>rokprognozy=2021 i lp=420</v>
      </c>
      <c r="N51" s="34" t="str">
        <f t="shared" si="9"/>
        <v>rokprognozy=2022 i lp=420</v>
      </c>
      <c r="O51" s="34" t="str">
        <f t="shared" si="9"/>
        <v>rokprognozy=2023 i lp=420</v>
      </c>
      <c r="P51" s="34" t="str">
        <f t="shared" si="9"/>
        <v>rokprognozy=2024 i lp=420</v>
      </c>
      <c r="Q51" s="34" t="str">
        <f t="shared" si="9"/>
        <v>rokprognozy=2025 i lp=420</v>
      </c>
      <c r="R51" s="34" t="str">
        <f t="shared" si="9"/>
        <v>rokprognozy=2026 i lp=420</v>
      </c>
      <c r="S51" s="34" t="str">
        <f t="shared" si="9"/>
        <v>rokprognozy=2027 i lp=420</v>
      </c>
      <c r="T51" s="34" t="str">
        <f t="shared" si="9"/>
        <v>rokprognozy=2028 i lp=420</v>
      </c>
      <c r="U51" s="34" t="str">
        <f t="shared" si="9"/>
        <v>rokprognozy=2029 i lp=420</v>
      </c>
      <c r="V51" s="34" t="str">
        <f t="shared" si="9"/>
        <v>rokprognozy=2030 i lp=420</v>
      </c>
      <c r="W51" s="34" t="str">
        <f t="shared" si="9"/>
        <v>rokprognozy=2031 i lp=420</v>
      </c>
      <c r="X51" s="34" t="str">
        <f t="shared" si="9"/>
        <v>rokprognozy=2032 i lp=420</v>
      </c>
      <c r="Y51" s="34" t="str">
        <f t="shared" si="9"/>
        <v>rokprognozy=2033 i lp=420</v>
      </c>
      <c r="Z51" s="34" t="str">
        <f t="shared" si="9"/>
        <v>rokprognozy=2034 i lp=420</v>
      </c>
      <c r="AA51" s="34" t="str">
        <f t="shared" si="9"/>
        <v>rokprognozy=2035 i lp=420</v>
      </c>
      <c r="AB51" s="34" t="str">
        <f t="shared" si="9"/>
        <v>rokprognozy=2036 i lp=420</v>
      </c>
      <c r="AC51" s="34" t="str">
        <f t="shared" si="9"/>
        <v>rokprognozy=2037 i lp=420</v>
      </c>
      <c r="AD51" s="34" t="str">
        <f t="shared" si="10"/>
        <v>rokprognozy=2038 i lp=420</v>
      </c>
      <c r="AE51" s="34" t="str">
        <f t="shared" si="10"/>
        <v>rokprognozy=2039 i lp=420</v>
      </c>
      <c r="AF51" s="34" t="str">
        <f t="shared" si="10"/>
        <v>rokprognozy=2040 i lp=420</v>
      </c>
      <c r="AG51" s="34" t="str">
        <f t="shared" si="10"/>
        <v>rokprognozy=2041 i lp=420</v>
      </c>
      <c r="AH51" s="34" t="str">
        <f t="shared" si="11"/>
        <v>rokprognozy=2042 i lp=420</v>
      </c>
    </row>
    <row r="52" spans="1:34">
      <c r="A52" s="33">
        <v>430</v>
      </c>
      <c r="B52" s="33">
        <v>8.1999999999999993</v>
      </c>
      <c r="C52" s="34" t="s">
        <v>92</v>
      </c>
      <c r="D52" s="34" t="str">
        <f t="shared" si="3"/>
        <v>rokprognozy=2013 i lp=430</v>
      </c>
      <c r="E52" s="34" t="str">
        <f t="shared" ref="E52:S68" si="12">+"rokprognozy="&amp;E$9&amp;" i lp="&amp;$A52</f>
        <v>rokprognozy=2013 i lp=430</v>
      </c>
      <c r="F52" s="34" t="str">
        <f t="shared" si="12"/>
        <v>rokprognozy=2014 i lp=430</v>
      </c>
      <c r="G52" s="34" t="str">
        <f t="shared" si="12"/>
        <v>rokprognozy=2015 i lp=430</v>
      </c>
      <c r="H52" s="34" t="str">
        <f t="shared" si="12"/>
        <v>rokprognozy=2016 i lp=430</v>
      </c>
      <c r="I52" s="34" t="str">
        <f t="shared" si="12"/>
        <v>rokprognozy=2017 i lp=430</v>
      </c>
      <c r="J52" s="34" t="str">
        <f t="shared" si="12"/>
        <v>rokprognozy=2018 i lp=430</v>
      </c>
      <c r="K52" s="34" t="str">
        <f t="shared" si="12"/>
        <v>rokprognozy=2019 i lp=430</v>
      </c>
      <c r="L52" s="34" t="str">
        <f t="shared" si="12"/>
        <v>rokprognozy=2020 i lp=430</v>
      </c>
      <c r="M52" s="34" t="str">
        <f t="shared" si="12"/>
        <v>rokprognozy=2021 i lp=430</v>
      </c>
      <c r="N52" s="34" t="str">
        <f t="shared" si="9"/>
        <v>rokprognozy=2022 i lp=430</v>
      </c>
      <c r="O52" s="34" t="str">
        <f t="shared" si="9"/>
        <v>rokprognozy=2023 i lp=430</v>
      </c>
      <c r="P52" s="34" t="str">
        <f t="shared" si="9"/>
        <v>rokprognozy=2024 i lp=430</v>
      </c>
      <c r="Q52" s="34" t="str">
        <f t="shared" si="9"/>
        <v>rokprognozy=2025 i lp=430</v>
      </c>
      <c r="R52" s="34" t="str">
        <f t="shared" si="9"/>
        <v>rokprognozy=2026 i lp=430</v>
      </c>
      <c r="S52" s="34" t="str">
        <f t="shared" si="9"/>
        <v>rokprognozy=2027 i lp=430</v>
      </c>
      <c r="T52" s="34" t="str">
        <f t="shared" si="9"/>
        <v>rokprognozy=2028 i lp=430</v>
      </c>
      <c r="U52" s="34" t="str">
        <f t="shared" si="9"/>
        <v>rokprognozy=2029 i lp=430</v>
      </c>
      <c r="V52" s="34" t="str">
        <f t="shared" si="9"/>
        <v>rokprognozy=2030 i lp=430</v>
      </c>
      <c r="W52" s="34" t="str">
        <f t="shared" si="9"/>
        <v>rokprognozy=2031 i lp=430</v>
      </c>
      <c r="X52" s="34" t="str">
        <f t="shared" si="9"/>
        <v>rokprognozy=2032 i lp=430</v>
      </c>
      <c r="Y52" s="34" t="str">
        <f t="shared" si="9"/>
        <v>rokprognozy=2033 i lp=430</v>
      </c>
      <c r="Z52" s="34" t="str">
        <f t="shared" si="9"/>
        <v>rokprognozy=2034 i lp=430</v>
      </c>
      <c r="AA52" s="34" t="str">
        <f t="shared" si="9"/>
        <v>rokprognozy=2035 i lp=430</v>
      </c>
      <c r="AB52" s="34" t="str">
        <f t="shared" si="9"/>
        <v>rokprognozy=2036 i lp=430</v>
      </c>
      <c r="AC52" s="34" t="str">
        <f t="shared" si="9"/>
        <v>rokprognozy=2037 i lp=430</v>
      </c>
      <c r="AD52" s="34" t="str">
        <f t="shared" si="10"/>
        <v>rokprognozy=2038 i lp=430</v>
      </c>
      <c r="AE52" s="34" t="str">
        <f t="shared" si="10"/>
        <v>rokprognozy=2039 i lp=430</v>
      </c>
      <c r="AF52" s="34" t="str">
        <f t="shared" si="10"/>
        <v>rokprognozy=2040 i lp=430</v>
      </c>
      <c r="AG52" s="34" t="str">
        <f t="shared" si="10"/>
        <v>rokprognozy=2041 i lp=430</v>
      </c>
      <c r="AH52" s="34" t="str">
        <f t="shared" si="11"/>
        <v>rokprognozy=2042 i lp=430</v>
      </c>
    </row>
    <row r="53" spans="1:34">
      <c r="A53" s="33">
        <v>440</v>
      </c>
      <c r="D53" s="34" t="str">
        <f t="shared" si="3"/>
        <v>rokprognozy=2013 i lp=440</v>
      </c>
      <c r="E53" s="34" t="str">
        <f t="shared" si="12"/>
        <v>rokprognozy=2013 i lp=440</v>
      </c>
      <c r="F53" s="34" t="str">
        <f t="shared" si="12"/>
        <v>rokprognozy=2014 i lp=440</v>
      </c>
      <c r="G53" s="34" t="str">
        <f t="shared" si="12"/>
        <v>rokprognozy=2015 i lp=440</v>
      </c>
      <c r="H53" s="34" t="str">
        <f t="shared" si="12"/>
        <v>rokprognozy=2016 i lp=440</v>
      </c>
      <c r="I53" s="34" t="str">
        <f t="shared" si="12"/>
        <v>rokprognozy=2017 i lp=440</v>
      </c>
      <c r="J53" s="34" t="str">
        <f t="shared" si="12"/>
        <v>rokprognozy=2018 i lp=440</v>
      </c>
      <c r="K53" s="34" t="str">
        <f t="shared" si="12"/>
        <v>rokprognozy=2019 i lp=440</v>
      </c>
      <c r="L53" s="34" t="str">
        <f t="shared" si="12"/>
        <v>rokprognozy=2020 i lp=440</v>
      </c>
      <c r="M53" s="34" t="str">
        <f t="shared" si="12"/>
        <v>rokprognozy=2021 i lp=440</v>
      </c>
      <c r="N53" s="34" t="str">
        <f t="shared" si="9"/>
        <v>rokprognozy=2022 i lp=440</v>
      </c>
      <c r="O53" s="34" t="str">
        <f t="shared" si="9"/>
        <v>rokprognozy=2023 i lp=440</v>
      </c>
      <c r="P53" s="34" t="str">
        <f t="shared" si="9"/>
        <v>rokprognozy=2024 i lp=440</v>
      </c>
      <c r="Q53" s="34" t="str">
        <f t="shared" si="9"/>
        <v>rokprognozy=2025 i lp=440</v>
      </c>
      <c r="R53" s="34" t="str">
        <f t="shared" si="9"/>
        <v>rokprognozy=2026 i lp=440</v>
      </c>
      <c r="S53" s="34" t="str">
        <f t="shared" si="9"/>
        <v>rokprognozy=2027 i lp=440</v>
      </c>
      <c r="T53" s="34" t="str">
        <f t="shared" si="9"/>
        <v>rokprognozy=2028 i lp=440</v>
      </c>
      <c r="U53" s="34" t="str">
        <f t="shared" si="9"/>
        <v>rokprognozy=2029 i lp=440</v>
      </c>
      <c r="V53" s="34" t="str">
        <f t="shared" si="9"/>
        <v>rokprognozy=2030 i lp=440</v>
      </c>
      <c r="W53" s="34" t="str">
        <f t="shared" si="9"/>
        <v>rokprognozy=2031 i lp=440</v>
      </c>
      <c r="X53" s="34" t="str">
        <f t="shared" si="9"/>
        <v>rokprognozy=2032 i lp=440</v>
      </c>
      <c r="Y53" s="34" t="str">
        <f t="shared" si="9"/>
        <v>rokprognozy=2033 i lp=440</v>
      </c>
      <c r="Z53" s="34" t="str">
        <f t="shared" si="9"/>
        <v>rokprognozy=2034 i lp=440</v>
      </c>
      <c r="AA53" s="34" t="str">
        <f t="shared" si="9"/>
        <v>rokprognozy=2035 i lp=440</v>
      </c>
      <c r="AB53" s="34" t="str">
        <f t="shared" si="9"/>
        <v>rokprognozy=2036 i lp=440</v>
      </c>
      <c r="AC53" s="34" t="str">
        <f t="shared" si="9"/>
        <v>rokprognozy=2037 i lp=440</v>
      </c>
      <c r="AD53" s="34" t="str">
        <f t="shared" si="10"/>
        <v>rokprognozy=2038 i lp=440</v>
      </c>
      <c r="AE53" s="34" t="str">
        <f t="shared" si="10"/>
        <v>rokprognozy=2039 i lp=440</v>
      </c>
      <c r="AF53" s="34" t="str">
        <f t="shared" si="10"/>
        <v>rokprognozy=2040 i lp=440</v>
      </c>
      <c r="AG53" s="34" t="str">
        <f t="shared" si="10"/>
        <v>rokprognozy=2041 i lp=440</v>
      </c>
      <c r="AH53" s="34" t="str">
        <f t="shared" si="11"/>
        <v>rokprognozy=2042 i lp=440</v>
      </c>
    </row>
    <row r="54" spans="1:34">
      <c r="A54" s="33">
        <v>450</v>
      </c>
      <c r="B54" s="33">
        <v>9.1</v>
      </c>
      <c r="C54" s="34" t="s">
        <v>93</v>
      </c>
      <c r="D54" s="34" t="str">
        <f t="shared" si="3"/>
        <v>rokprognozy=2013 i lp=450</v>
      </c>
      <c r="E54" s="34" t="str">
        <f t="shared" si="12"/>
        <v>rokprognozy=2013 i lp=450</v>
      </c>
      <c r="F54" s="34" t="str">
        <f t="shared" si="12"/>
        <v>rokprognozy=2014 i lp=450</v>
      </c>
      <c r="G54" s="34" t="str">
        <f t="shared" si="12"/>
        <v>rokprognozy=2015 i lp=450</v>
      </c>
      <c r="H54" s="34" t="str">
        <f t="shared" si="12"/>
        <v>rokprognozy=2016 i lp=450</v>
      </c>
      <c r="I54" s="34" t="str">
        <f t="shared" si="12"/>
        <v>rokprognozy=2017 i lp=450</v>
      </c>
      <c r="J54" s="34" t="str">
        <f t="shared" si="12"/>
        <v>rokprognozy=2018 i lp=450</v>
      </c>
      <c r="K54" s="34" t="str">
        <f t="shared" si="12"/>
        <v>rokprognozy=2019 i lp=450</v>
      </c>
      <c r="L54" s="34" t="str">
        <f t="shared" si="12"/>
        <v>rokprognozy=2020 i lp=450</v>
      </c>
      <c r="M54" s="34" t="str">
        <f t="shared" si="12"/>
        <v>rokprognozy=2021 i lp=450</v>
      </c>
      <c r="N54" s="34" t="str">
        <f t="shared" si="9"/>
        <v>rokprognozy=2022 i lp=450</v>
      </c>
      <c r="O54" s="34" t="str">
        <f t="shared" si="9"/>
        <v>rokprognozy=2023 i lp=450</v>
      </c>
      <c r="P54" s="34" t="str">
        <f t="shared" si="9"/>
        <v>rokprognozy=2024 i lp=450</v>
      </c>
      <c r="Q54" s="34" t="str">
        <f t="shared" si="9"/>
        <v>rokprognozy=2025 i lp=450</v>
      </c>
      <c r="R54" s="34" t="str">
        <f t="shared" si="9"/>
        <v>rokprognozy=2026 i lp=450</v>
      </c>
      <c r="S54" s="34" t="str">
        <f t="shared" si="9"/>
        <v>rokprognozy=2027 i lp=450</v>
      </c>
      <c r="T54" s="34" t="str">
        <f t="shared" si="9"/>
        <v>rokprognozy=2028 i lp=450</v>
      </c>
      <c r="U54" s="34" t="str">
        <f t="shared" si="9"/>
        <v>rokprognozy=2029 i lp=450</v>
      </c>
      <c r="V54" s="34" t="str">
        <f t="shared" si="9"/>
        <v>rokprognozy=2030 i lp=450</v>
      </c>
      <c r="W54" s="34" t="str">
        <f t="shared" si="9"/>
        <v>rokprognozy=2031 i lp=450</v>
      </c>
      <c r="X54" s="34" t="str">
        <f t="shared" si="9"/>
        <v>rokprognozy=2032 i lp=450</v>
      </c>
      <c r="Y54" s="34" t="str">
        <f t="shared" si="9"/>
        <v>rokprognozy=2033 i lp=450</v>
      </c>
      <c r="Z54" s="34" t="str">
        <f t="shared" si="9"/>
        <v>rokprognozy=2034 i lp=450</v>
      </c>
      <c r="AA54" s="34" t="str">
        <f t="shared" si="9"/>
        <v>rokprognozy=2035 i lp=450</v>
      </c>
      <c r="AB54" s="34" t="str">
        <f t="shared" si="9"/>
        <v>rokprognozy=2036 i lp=450</v>
      </c>
      <c r="AC54" s="34" t="str">
        <f t="shared" si="9"/>
        <v>rokprognozy=2037 i lp=450</v>
      </c>
      <c r="AD54" s="34" t="str">
        <f t="shared" si="10"/>
        <v>rokprognozy=2038 i lp=450</v>
      </c>
      <c r="AE54" s="34" t="str">
        <f t="shared" si="10"/>
        <v>rokprognozy=2039 i lp=450</v>
      </c>
      <c r="AF54" s="34" t="str">
        <f t="shared" si="10"/>
        <v>rokprognozy=2040 i lp=450</v>
      </c>
      <c r="AG54" s="34" t="str">
        <f t="shared" si="10"/>
        <v>rokprognozy=2041 i lp=450</v>
      </c>
      <c r="AH54" s="34" t="str">
        <f t="shared" si="11"/>
        <v>rokprognozy=2042 i lp=450</v>
      </c>
    </row>
    <row r="55" spans="1:34">
      <c r="A55" s="33">
        <v>460</v>
      </c>
      <c r="B55" s="33">
        <v>9.1999999999999993</v>
      </c>
      <c r="C55" s="34" t="s">
        <v>94</v>
      </c>
      <c r="D55" s="34" t="str">
        <f t="shared" si="3"/>
        <v>rokprognozy=2013 i lp=460</v>
      </c>
      <c r="E55" s="34" t="str">
        <f t="shared" si="12"/>
        <v>rokprognozy=2013 i lp=460</v>
      </c>
      <c r="F55" s="34" t="str">
        <f t="shared" si="12"/>
        <v>rokprognozy=2014 i lp=460</v>
      </c>
      <c r="G55" s="34" t="str">
        <f t="shared" si="12"/>
        <v>rokprognozy=2015 i lp=460</v>
      </c>
      <c r="H55" s="34" t="str">
        <f t="shared" si="12"/>
        <v>rokprognozy=2016 i lp=460</v>
      </c>
      <c r="I55" s="34" t="str">
        <f t="shared" si="12"/>
        <v>rokprognozy=2017 i lp=460</v>
      </c>
      <c r="J55" s="34" t="str">
        <f t="shared" si="12"/>
        <v>rokprognozy=2018 i lp=460</v>
      </c>
      <c r="K55" s="34" t="str">
        <f t="shared" si="12"/>
        <v>rokprognozy=2019 i lp=460</v>
      </c>
      <c r="L55" s="34" t="str">
        <f t="shared" si="12"/>
        <v>rokprognozy=2020 i lp=460</v>
      </c>
      <c r="M55" s="34" t="str">
        <f t="shared" si="12"/>
        <v>rokprognozy=2021 i lp=460</v>
      </c>
      <c r="N55" s="34" t="str">
        <f t="shared" si="9"/>
        <v>rokprognozy=2022 i lp=460</v>
      </c>
      <c r="O55" s="34" t="str">
        <f t="shared" si="9"/>
        <v>rokprognozy=2023 i lp=460</v>
      </c>
      <c r="P55" s="34" t="str">
        <f t="shared" si="9"/>
        <v>rokprognozy=2024 i lp=460</v>
      </c>
      <c r="Q55" s="34" t="str">
        <f t="shared" si="9"/>
        <v>rokprognozy=2025 i lp=460</v>
      </c>
      <c r="R55" s="34" t="str">
        <f t="shared" si="9"/>
        <v>rokprognozy=2026 i lp=460</v>
      </c>
      <c r="S55" s="34" t="str">
        <f t="shared" si="9"/>
        <v>rokprognozy=2027 i lp=460</v>
      </c>
      <c r="T55" s="34" t="str">
        <f t="shared" ref="N55:AC71" si="13">+"rokprognozy="&amp;T$9&amp;" i lp="&amp;$A55</f>
        <v>rokprognozy=2028 i lp=460</v>
      </c>
      <c r="U55" s="34" t="str">
        <f t="shared" si="13"/>
        <v>rokprognozy=2029 i lp=460</v>
      </c>
      <c r="V55" s="34" t="str">
        <f t="shared" si="13"/>
        <v>rokprognozy=2030 i lp=460</v>
      </c>
      <c r="W55" s="34" t="str">
        <f t="shared" si="13"/>
        <v>rokprognozy=2031 i lp=460</v>
      </c>
      <c r="X55" s="34" t="str">
        <f t="shared" si="13"/>
        <v>rokprognozy=2032 i lp=460</v>
      </c>
      <c r="Y55" s="34" t="str">
        <f t="shared" si="13"/>
        <v>rokprognozy=2033 i lp=460</v>
      </c>
      <c r="Z55" s="34" t="str">
        <f t="shared" si="13"/>
        <v>rokprognozy=2034 i lp=460</v>
      </c>
      <c r="AA55" s="34" t="str">
        <f t="shared" si="13"/>
        <v>rokprognozy=2035 i lp=460</v>
      </c>
      <c r="AB55" s="34" t="str">
        <f t="shared" si="13"/>
        <v>rokprognozy=2036 i lp=460</v>
      </c>
      <c r="AC55" s="34" t="str">
        <f t="shared" si="13"/>
        <v>rokprognozy=2037 i lp=460</v>
      </c>
      <c r="AD55" s="34" t="str">
        <f t="shared" si="10"/>
        <v>rokprognozy=2038 i lp=460</v>
      </c>
      <c r="AE55" s="34" t="str">
        <f t="shared" si="10"/>
        <v>rokprognozy=2039 i lp=460</v>
      </c>
      <c r="AF55" s="34" t="str">
        <f t="shared" si="10"/>
        <v>rokprognozy=2040 i lp=460</v>
      </c>
      <c r="AG55" s="34" t="str">
        <f t="shared" si="10"/>
        <v>rokprognozy=2041 i lp=460</v>
      </c>
      <c r="AH55" s="34" t="str">
        <f t="shared" si="11"/>
        <v>rokprognozy=2042 i lp=460</v>
      </c>
    </row>
    <row r="56" spans="1:34">
      <c r="A56" s="33">
        <v>470</v>
      </c>
      <c r="B56" s="33">
        <v>9.3000000000000007</v>
      </c>
      <c r="C56" s="34" t="s">
        <v>232</v>
      </c>
      <c r="D56" s="34" t="str">
        <f t="shared" si="3"/>
        <v>rokprognozy=2013 i lp=470</v>
      </c>
      <c r="E56" s="34" t="str">
        <f t="shared" si="12"/>
        <v>rokprognozy=2013 i lp=470</v>
      </c>
      <c r="F56" s="34" t="str">
        <f t="shared" si="12"/>
        <v>rokprognozy=2014 i lp=470</v>
      </c>
      <c r="G56" s="34" t="str">
        <f t="shared" si="12"/>
        <v>rokprognozy=2015 i lp=470</v>
      </c>
      <c r="H56" s="34" t="str">
        <f t="shared" si="12"/>
        <v>rokprognozy=2016 i lp=470</v>
      </c>
      <c r="I56" s="34" t="str">
        <f t="shared" si="12"/>
        <v>rokprognozy=2017 i lp=470</v>
      </c>
      <c r="J56" s="34" t="str">
        <f t="shared" si="12"/>
        <v>rokprognozy=2018 i lp=470</v>
      </c>
      <c r="K56" s="34" t="str">
        <f t="shared" si="12"/>
        <v>rokprognozy=2019 i lp=470</v>
      </c>
      <c r="L56" s="34" t="str">
        <f t="shared" si="12"/>
        <v>rokprognozy=2020 i lp=470</v>
      </c>
      <c r="M56" s="34" t="str">
        <f t="shared" si="12"/>
        <v>rokprognozy=2021 i lp=470</v>
      </c>
      <c r="N56" s="34" t="str">
        <f t="shared" si="12"/>
        <v>rokprognozy=2022 i lp=470</v>
      </c>
      <c r="O56" s="34" t="str">
        <f t="shared" si="12"/>
        <v>rokprognozy=2023 i lp=470</v>
      </c>
      <c r="P56" s="34" t="str">
        <f t="shared" si="12"/>
        <v>rokprognozy=2024 i lp=470</v>
      </c>
      <c r="Q56" s="34" t="str">
        <f t="shared" si="12"/>
        <v>rokprognozy=2025 i lp=470</v>
      </c>
      <c r="R56" s="34" t="str">
        <f t="shared" si="12"/>
        <v>rokprognozy=2026 i lp=470</v>
      </c>
      <c r="S56" s="34" t="str">
        <f t="shared" si="12"/>
        <v>rokprognozy=2027 i lp=470</v>
      </c>
      <c r="T56" s="34" t="str">
        <f t="shared" si="13"/>
        <v>rokprognozy=2028 i lp=470</v>
      </c>
      <c r="U56" s="34" t="str">
        <f t="shared" si="13"/>
        <v>rokprognozy=2029 i lp=470</v>
      </c>
      <c r="V56" s="34" t="str">
        <f t="shared" si="13"/>
        <v>rokprognozy=2030 i lp=470</v>
      </c>
      <c r="W56" s="34" t="str">
        <f t="shared" si="13"/>
        <v>rokprognozy=2031 i lp=470</v>
      </c>
      <c r="X56" s="34" t="str">
        <f t="shared" si="13"/>
        <v>rokprognozy=2032 i lp=470</v>
      </c>
      <c r="Y56" s="34" t="str">
        <f>+"rokprognozy="&amp;Y$9&amp;" i lp="&amp;$A56</f>
        <v>rokprognozy=2033 i lp=470</v>
      </c>
      <c r="Z56" s="34" t="str">
        <f>+"rokprognozy="&amp;Z$9&amp;" i lp="&amp;$A56</f>
        <v>rokprognozy=2034 i lp=470</v>
      </c>
      <c r="AA56" s="34" t="str">
        <f>+"rokprognozy="&amp;AA$9&amp;" i lp="&amp;$A56</f>
        <v>rokprognozy=2035 i lp=470</v>
      </c>
      <c r="AB56" s="34" t="str">
        <f>+"rokprognozy="&amp;AB$9&amp;" i lp="&amp;$A56</f>
        <v>rokprognozy=2036 i lp=470</v>
      </c>
      <c r="AC56" s="34" t="str">
        <f>+"rokprognozy="&amp;AC$9&amp;" i lp="&amp;$A56</f>
        <v>rokprognozy=2037 i lp=470</v>
      </c>
      <c r="AD56" s="34" t="str">
        <f t="shared" si="10"/>
        <v>rokprognozy=2038 i lp=470</v>
      </c>
      <c r="AE56" s="34" t="str">
        <f t="shared" si="10"/>
        <v>rokprognozy=2039 i lp=470</v>
      </c>
      <c r="AF56" s="34" t="str">
        <f t="shared" si="10"/>
        <v>rokprognozy=2040 i lp=470</v>
      </c>
      <c r="AG56" s="34" t="str">
        <f t="shared" si="10"/>
        <v>rokprognozy=2041 i lp=470</v>
      </c>
      <c r="AH56" s="34" t="str">
        <f t="shared" si="11"/>
        <v>rokprognozy=2042 i lp=470</v>
      </c>
    </row>
    <row r="57" spans="1:34">
      <c r="A57" s="33">
        <v>480</v>
      </c>
      <c r="B57" s="33">
        <v>9.4</v>
      </c>
      <c r="C57" s="34" t="s">
        <v>95</v>
      </c>
      <c r="D57" s="34" t="str">
        <f t="shared" si="3"/>
        <v>rokprognozy=2013 i lp=480</v>
      </c>
      <c r="E57" s="34" t="str">
        <f t="shared" si="12"/>
        <v>rokprognozy=2013 i lp=480</v>
      </c>
      <c r="F57" s="34" t="str">
        <f t="shared" si="12"/>
        <v>rokprognozy=2014 i lp=480</v>
      </c>
      <c r="G57" s="34" t="str">
        <f t="shared" si="12"/>
        <v>rokprognozy=2015 i lp=480</v>
      </c>
      <c r="H57" s="34" t="str">
        <f t="shared" si="12"/>
        <v>rokprognozy=2016 i lp=480</v>
      </c>
      <c r="I57" s="34" t="str">
        <f t="shared" si="12"/>
        <v>rokprognozy=2017 i lp=480</v>
      </c>
      <c r="J57" s="34" t="str">
        <f t="shared" si="12"/>
        <v>rokprognozy=2018 i lp=480</v>
      </c>
      <c r="K57" s="34" t="str">
        <f t="shared" si="12"/>
        <v>rokprognozy=2019 i lp=480</v>
      </c>
      <c r="L57" s="34" t="str">
        <f t="shared" si="12"/>
        <v>rokprognozy=2020 i lp=480</v>
      </c>
      <c r="M57" s="34" t="str">
        <f t="shared" si="12"/>
        <v>rokprognozy=2021 i lp=480</v>
      </c>
      <c r="N57" s="34" t="str">
        <f t="shared" si="13"/>
        <v>rokprognozy=2022 i lp=480</v>
      </c>
      <c r="O57" s="34" t="str">
        <f t="shared" si="13"/>
        <v>rokprognozy=2023 i lp=480</v>
      </c>
      <c r="P57" s="34" t="str">
        <f t="shared" si="13"/>
        <v>rokprognozy=2024 i lp=480</v>
      </c>
      <c r="Q57" s="34" t="str">
        <f t="shared" si="13"/>
        <v>rokprognozy=2025 i lp=480</v>
      </c>
      <c r="R57" s="34" t="str">
        <f t="shared" si="13"/>
        <v>rokprognozy=2026 i lp=480</v>
      </c>
      <c r="S57" s="34" t="str">
        <f t="shared" si="13"/>
        <v>rokprognozy=2027 i lp=480</v>
      </c>
      <c r="T57" s="34" t="str">
        <f t="shared" si="13"/>
        <v>rokprognozy=2028 i lp=480</v>
      </c>
      <c r="U57" s="34" t="str">
        <f t="shared" si="13"/>
        <v>rokprognozy=2029 i lp=480</v>
      </c>
      <c r="V57" s="34" t="str">
        <f t="shared" si="13"/>
        <v>rokprognozy=2030 i lp=480</v>
      </c>
      <c r="W57" s="34" t="str">
        <f t="shared" si="13"/>
        <v>rokprognozy=2031 i lp=480</v>
      </c>
      <c r="X57" s="34" t="str">
        <f t="shared" si="13"/>
        <v>rokprognozy=2032 i lp=480</v>
      </c>
      <c r="Y57" s="34" t="str">
        <f t="shared" si="13"/>
        <v>rokprognozy=2033 i lp=480</v>
      </c>
      <c r="Z57" s="34" t="str">
        <f t="shared" si="13"/>
        <v>rokprognozy=2034 i lp=480</v>
      </c>
      <c r="AA57" s="34" t="str">
        <f t="shared" si="13"/>
        <v>rokprognozy=2035 i lp=480</v>
      </c>
      <c r="AB57" s="34" t="str">
        <f t="shared" si="13"/>
        <v>rokprognozy=2036 i lp=480</v>
      </c>
      <c r="AC57" s="34" t="str">
        <f t="shared" si="13"/>
        <v>rokprognozy=2037 i lp=480</v>
      </c>
      <c r="AD57" s="34" t="str">
        <f t="shared" si="10"/>
        <v>rokprognozy=2038 i lp=480</v>
      </c>
      <c r="AE57" s="34" t="str">
        <f t="shared" si="10"/>
        <v>rokprognozy=2039 i lp=480</v>
      </c>
      <c r="AF57" s="34" t="str">
        <f t="shared" si="10"/>
        <v>rokprognozy=2040 i lp=480</v>
      </c>
      <c r="AG57" s="34" t="str">
        <f t="shared" si="10"/>
        <v>rokprognozy=2041 i lp=480</v>
      </c>
      <c r="AH57" s="34" t="str">
        <f t="shared" si="11"/>
        <v>rokprognozy=2042 i lp=480</v>
      </c>
    </row>
    <row r="58" spans="1:34">
      <c r="A58" s="33">
        <v>490</v>
      </c>
      <c r="B58" s="33">
        <v>9.5</v>
      </c>
      <c r="C58" s="34" t="s">
        <v>96</v>
      </c>
      <c r="D58" s="34" t="str">
        <f t="shared" si="3"/>
        <v>rokprognozy=2013 i lp=490</v>
      </c>
      <c r="E58" s="34" t="str">
        <f t="shared" si="12"/>
        <v>rokprognozy=2013 i lp=490</v>
      </c>
      <c r="F58" s="34" t="str">
        <f t="shared" si="12"/>
        <v>rokprognozy=2014 i lp=490</v>
      </c>
      <c r="G58" s="34" t="str">
        <f t="shared" si="12"/>
        <v>rokprognozy=2015 i lp=490</v>
      </c>
      <c r="H58" s="34" t="str">
        <f t="shared" si="12"/>
        <v>rokprognozy=2016 i lp=490</v>
      </c>
      <c r="I58" s="34" t="str">
        <f t="shared" si="12"/>
        <v>rokprognozy=2017 i lp=490</v>
      </c>
      <c r="J58" s="34" t="str">
        <f t="shared" si="12"/>
        <v>rokprognozy=2018 i lp=490</v>
      </c>
      <c r="K58" s="34" t="str">
        <f t="shared" si="12"/>
        <v>rokprognozy=2019 i lp=490</v>
      </c>
      <c r="L58" s="34" t="str">
        <f t="shared" si="12"/>
        <v>rokprognozy=2020 i lp=490</v>
      </c>
      <c r="M58" s="34" t="str">
        <f t="shared" si="12"/>
        <v>rokprognozy=2021 i lp=490</v>
      </c>
      <c r="N58" s="34" t="str">
        <f t="shared" si="13"/>
        <v>rokprognozy=2022 i lp=490</v>
      </c>
      <c r="O58" s="34" t="str">
        <f t="shared" si="13"/>
        <v>rokprognozy=2023 i lp=490</v>
      </c>
      <c r="P58" s="34" t="str">
        <f t="shared" si="13"/>
        <v>rokprognozy=2024 i lp=490</v>
      </c>
      <c r="Q58" s="34" t="str">
        <f t="shared" si="13"/>
        <v>rokprognozy=2025 i lp=490</v>
      </c>
      <c r="R58" s="34" t="str">
        <f t="shared" si="13"/>
        <v>rokprognozy=2026 i lp=490</v>
      </c>
      <c r="S58" s="34" t="str">
        <f t="shared" si="13"/>
        <v>rokprognozy=2027 i lp=490</v>
      </c>
      <c r="T58" s="34" t="str">
        <f t="shared" si="13"/>
        <v>rokprognozy=2028 i lp=490</v>
      </c>
      <c r="U58" s="34" t="str">
        <f t="shared" si="13"/>
        <v>rokprognozy=2029 i lp=490</v>
      </c>
      <c r="V58" s="34" t="str">
        <f t="shared" si="13"/>
        <v>rokprognozy=2030 i lp=490</v>
      </c>
      <c r="W58" s="34" t="str">
        <f t="shared" si="13"/>
        <v>rokprognozy=2031 i lp=490</v>
      </c>
      <c r="X58" s="34" t="str">
        <f t="shared" si="13"/>
        <v>rokprognozy=2032 i lp=490</v>
      </c>
      <c r="Y58" s="34" t="str">
        <f t="shared" si="13"/>
        <v>rokprognozy=2033 i lp=490</v>
      </c>
      <c r="Z58" s="34" t="str">
        <f t="shared" si="13"/>
        <v>rokprognozy=2034 i lp=490</v>
      </c>
      <c r="AA58" s="34" t="str">
        <f t="shared" si="13"/>
        <v>rokprognozy=2035 i lp=490</v>
      </c>
      <c r="AB58" s="34" t="str">
        <f t="shared" si="13"/>
        <v>rokprognozy=2036 i lp=490</v>
      </c>
      <c r="AC58" s="34" t="str">
        <f t="shared" si="13"/>
        <v>rokprognozy=2037 i lp=490</v>
      </c>
      <c r="AD58" s="34" t="str">
        <f t="shared" si="10"/>
        <v>rokprognozy=2038 i lp=490</v>
      </c>
      <c r="AE58" s="34" t="str">
        <f t="shared" si="10"/>
        <v>rokprognozy=2039 i lp=490</v>
      </c>
      <c r="AF58" s="34" t="str">
        <f t="shared" si="10"/>
        <v>rokprognozy=2040 i lp=490</v>
      </c>
      <c r="AG58" s="34" t="str">
        <f t="shared" si="10"/>
        <v>rokprognozy=2041 i lp=490</v>
      </c>
      <c r="AH58" s="34" t="str">
        <f t="shared" si="11"/>
        <v>rokprognozy=2042 i lp=490</v>
      </c>
    </row>
    <row r="59" spans="1:34">
      <c r="A59" s="33">
        <v>500</v>
      </c>
      <c r="B59" s="33">
        <v>9.6</v>
      </c>
      <c r="C59" s="34" t="s">
        <v>97</v>
      </c>
      <c r="D59" s="34" t="str">
        <f t="shared" si="3"/>
        <v>rokprognozy=2013 i lp=500</v>
      </c>
      <c r="E59" s="34" t="str">
        <f t="shared" si="12"/>
        <v>rokprognozy=2013 i lp=500</v>
      </c>
      <c r="F59" s="34" t="str">
        <f t="shared" si="12"/>
        <v>rokprognozy=2014 i lp=500</v>
      </c>
      <c r="G59" s="34" t="str">
        <f t="shared" si="12"/>
        <v>rokprognozy=2015 i lp=500</v>
      </c>
      <c r="H59" s="34" t="str">
        <f t="shared" si="12"/>
        <v>rokprognozy=2016 i lp=500</v>
      </c>
      <c r="I59" s="34" t="str">
        <f t="shared" si="12"/>
        <v>rokprognozy=2017 i lp=500</v>
      </c>
      <c r="J59" s="34" t="str">
        <f t="shared" si="12"/>
        <v>rokprognozy=2018 i lp=500</v>
      </c>
      <c r="K59" s="34" t="str">
        <f t="shared" si="12"/>
        <v>rokprognozy=2019 i lp=500</v>
      </c>
      <c r="L59" s="34" t="str">
        <f t="shared" si="12"/>
        <v>rokprognozy=2020 i lp=500</v>
      </c>
      <c r="M59" s="34" t="str">
        <f t="shared" si="12"/>
        <v>rokprognozy=2021 i lp=500</v>
      </c>
      <c r="N59" s="34" t="str">
        <f t="shared" si="13"/>
        <v>rokprognozy=2022 i lp=500</v>
      </c>
      <c r="O59" s="34" t="str">
        <f t="shared" si="13"/>
        <v>rokprognozy=2023 i lp=500</v>
      </c>
      <c r="P59" s="34" t="str">
        <f t="shared" si="13"/>
        <v>rokprognozy=2024 i lp=500</v>
      </c>
      <c r="Q59" s="34" t="str">
        <f t="shared" si="13"/>
        <v>rokprognozy=2025 i lp=500</v>
      </c>
      <c r="R59" s="34" t="str">
        <f t="shared" si="13"/>
        <v>rokprognozy=2026 i lp=500</v>
      </c>
      <c r="S59" s="34" t="str">
        <f t="shared" si="13"/>
        <v>rokprognozy=2027 i lp=500</v>
      </c>
      <c r="T59" s="34" t="str">
        <f t="shared" si="13"/>
        <v>rokprognozy=2028 i lp=500</v>
      </c>
      <c r="U59" s="34" t="str">
        <f t="shared" si="13"/>
        <v>rokprognozy=2029 i lp=500</v>
      </c>
      <c r="V59" s="34" t="str">
        <f t="shared" si="13"/>
        <v>rokprognozy=2030 i lp=500</v>
      </c>
      <c r="W59" s="34" t="str">
        <f t="shared" si="13"/>
        <v>rokprognozy=2031 i lp=500</v>
      </c>
      <c r="X59" s="34" t="str">
        <f t="shared" si="13"/>
        <v>rokprognozy=2032 i lp=500</v>
      </c>
      <c r="Y59" s="34" t="str">
        <f t="shared" si="13"/>
        <v>rokprognozy=2033 i lp=500</v>
      </c>
      <c r="Z59" s="34" t="str">
        <f t="shared" si="13"/>
        <v>rokprognozy=2034 i lp=500</v>
      </c>
      <c r="AA59" s="34" t="str">
        <f t="shared" si="13"/>
        <v>rokprognozy=2035 i lp=500</v>
      </c>
      <c r="AB59" s="34" t="str">
        <f t="shared" si="13"/>
        <v>rokprognozy=2036 i lp=500</v>
      </c>
      <c r="AC59" s="34" t="str">
        <f t="shared" si="13"/>
        <v>rokprognozy=2037 i lp=500</v>
      </c>
      <c r="AD59" s="34" t="str">
        <f t="shared" si="10"/>
        <v>rokprognozy=2038 i lp=500</v>
      </c>
      <c r="AE59" s="34" t="str">
        <f t="shared" si="10"/>
        <v>rokprognozy=2039 i lp=500</v>
      </c>
      <c r="AF59" s="34" t="str">
        <f t="shared" si="10"/>
        <v>rokprognozy=2040 i lp=500</v>
      </c>
      <c r="AG59" s="34" t="str">
        <f t="shared" si="10"/>
        <v>rokprognozy=2041 i lp=500</v>
      </c>
      <c r="AH59" s="34" t="str">
        <f t="shared" si="11"/>
        <v>rokprognozy=2042 i lp=500</v>
      </c>
    </row>
    <row r="60" spans="1:34">
      <c r="A60" s="33">
        <v>505</v>
      </c>
      <c r="B60" s="33" t="s">
        <v>98</v>
      </c>
      <c r="C60" s="34" t="s">
        <v>99</v>
      </c>
      <c r="D60" s="34" t="str">
        <f t="shared" si="3"/>
        <v>rokprognozy=2013 i lp=505</v>
      </c>
      <c r="E60" s="34" t="str">
        <f t="shared" si="12"/>
        <v>rokprognozy=2013 i lp=505</v>
      </c>
      <c r="F60" s="34" t="str">
        <f t="shared" si="12"/>
        <v>rokprognozy=2014 i lp=505</v>
      </c>
      <c r="G60" s="34" t="str">
        <f t="shared" si="12"/>
        <v>rokprognozy=2015 i lp=505</v>
      </c>
      <c r="H60" s="34" t="str">
        <f t="shared" si="12"/>
        <v>rokprognozy=2016 i lp=505</v>
      </c>
      <c r="I60" s="34" t="str">
        <f t="shared" si="12"/>
        <v>rokprognozy=2017 i lp=505</v>
      </c>
      <c r="J60" s="34" t="str">
        <f t="shared" si="12"/>
        <v>rokprognozy=2018 i lp=505</v>
      </c>
      <c r="K60" s="34" t="str">
        <f t="shared" si="12"/>
        <v>rokprognozy=2019 i lp=505</v>
      </c>
      <c r="L60" s="34" t="str">
        <f t="shared" si="12"/>
        <v>rokprognozy=2020 i lp=505</v>
      </c>
      <c r="M60" s="34" t="str">
        <f t="shared" si="12"/>
        <v>rokprognozy=2021 i lp=505</v>
      </c>
      <c r="N60" s="34" t="str">
        <f t="shared" si="13"/>
        <v>rokprognozy=2022 i lp=505</v>
      </c>
      <c r="O60" s="34" t="str">
        <f t="shared" si="13"/>
        <v>rokprognozy=2023 i lp=505</v>
      </c>
      <c r="P60" s="34" t="str">
        <f t="shared" si="13"/>
        <v>rokprognozy=2024 i lp=505</v>
      </c>
      <c r="Q60" s="34" t="str">
        <f t="shared" si="13"/>
        <v>rokprognozy=2025 i lp=505</v>
      </c>
      <c r="R60" s="34" t="str">
        <f t="shared" si="13"/>
        <v>rokprognozy=2026 i lp=505</v>
      </c>
      <c r="S60" s="34" t="str">
        <f t="shared" si="13"/>
        <v>rokprognozy=2027 i lp=505</v>
      </c>
      <c r="T60" s="34" t="str">
        <f t="shared" si="13"/>
        <v>rokprognozy=2028 i lp=505</v>
      </c>
      <c r="U60" s="34" t="str">
        <f t="shared" si="13"/>
        <v>rokprognozy=2029 i lp=505</v>
      </c>
      <c r="V60" s="34" t="str">
        <f t="shared" si="13"/>
        <v>rokprognozy=2030 i lp=505</v>
      </c>
      <c r="W60" s="34" t="str">
        <f t="shared" si="13"/>
        <v>rokprognozy=2031 i lp=505</v>
      </c>
      <c r="X60" s="34" t="str">
        <f t="shared" si="13"/>
        <v>rokprognozy=2032 i lp=505</v>
      </c>
      <c r="Y60" s="34" t="str">
        <f t="shared" si="13"/>
        <v>rokprognozy=2033 i lp=505</v>
      </c>
      <c r="Z60" s="34" t="str">
        <f t="shared" si="13"/>
        <v>rokprognozy=2034 i lp=505</v>
      </c>
      <c r="AA60" s="34" t="str">
        <f t="shared" si="13"/>
        <v>rokprognozy=2035 i lp=505</v>
      </c>
      <c r="AB60" s="34" t="str">
        <f t="shared" si="13"/>
        <v>rokprognozy=2036 i lp=505</v>
      </c>
      <c r="AC60" s="34" t="str">
        <f t="shared" si="13"/>
        <v>rokprognozy=2037 i lp=505</v>
      </c>
      <c r="AD60" s="34" t="str">
        <f t="shared" ref="AD60:AH75" si="14">+"rokprognozy="&amp;AD$9&amp;" i lp="&amp;$A60</f>
        <v>rokprognozy=2038 i lp=505</v>
      </c>
      <c r="AE60" s="34" t="str">
        <f t="shared" si="14"/>
        <v>rokprognozy=2039 i lp=505</v>
      </c>
      <c r="AF60" s="34" t="str">
        <f t="shared" si="14"/>
        <v>rokprognozy=2040 i lp=505</v>
      </c>
      <c r="AG60" s="34" t="str">
        <f t="shared" si="14"/>
        <v>rokprognozy=2041 i lp=505</v>
      </c>
      <c r="AH60" s="34" t="str">
        <f t="shared" si="14"/>
        <v>rokprognozy=2042 i lp=505</v>
      </c>
    </row>
    <row r="61" spans="1:34">
      <c r="A61" s="33">
        <v>510</v>
      </c>
      <c r="B61" s="33">
        <v>9.6999999999999993</v>
      </c>
      <c r="C61" s="34" t="s">
        <v>100</v>
      </c>
      <c r="D61" s="34" t="str">
        <f t="shared" si="3"/>
        <v>rokprognozy=2013 i lp=510</v>
      </c>
      <c r="E61" s="34" t="str">
        <f t="shared" si="12"/>
        <v>rokprognozy=2013 i lp=510</v>
      </c>
      <c r="F61" s="34" t="str">
        <f t="shared" si="12"/>
        <v>rokprognozy=2014 i lp=510</v>
      </c>
      <c r="G61" s="34" t="str">
        <f t="shared" si="12"/>
        <v>rokprognozy=2015 i lp=510</v>
      </c>
      <c r="H61" s="34" t="str">
        <f t="shared" si="12"/>
        <v>rokprognozy=2016 i lp=510</v>
      </c>
      <c r="I61" s="34" t="str">
        <f t="shared" si="12"/>
        <v>rokprognozy=2017 i lp=510</v>
      </c>
      <c r="J61" s="34" t="str">
        <f t="shared" si="12"/>
        <v>rokprognozy=2018 i lp=510</v>
      </c>
      <c r="K61" s="34" t="str">
        <f t="shared" si="12"/>
        <v>rokprognozy=2019 i lp=510</v>
      </c>
      <c r="L61" s="34" t="str">
        <f t="shared" si="12"/>
        <v>rokprognozy=2020 i lp=510</v>
      </c>
      <c r="M61" s="34" t="str">
        <f t="shared" si="12"/>
        <v>rokprognozy=2021 i lp=510</v>
      </c>
      <c r="N61" s="34" t="str">
        <f t="shared" si="13"/>
        <v>rokprognozy=2022 i lp=510</v>
      </c>
      <c r="O61" s="34" t="str">
        <f t="shared" si="13"/>
        <v>rokprognozy=2023 i lp=510</v>
      </c>
      <c r="P61" s="34" t="str">
        <f t="shared" si="13"/>
        <v>rokprognozy=2024 i lp=510</v>
      </c>
      <c r="Q61" s="34" t="str">
        <f t="shared" si="13"/>
        <v>rokprognozy=2025 i lp=510</v>
      </c>
      <c r="R61" s="34" t="str">
        <f t="shared" si="13"/>
        <v>rokprognozy=2026 i lp=510</v>
      </c>
      <c r="S61" s="34" t="str">
        <f t="shared" si="13"/>
        <v>rokprognozy=2027 i lp=510</v>
      </c>
      <c r="T61" s="34" t="str">
        <f t="shared" si="13"/>
        <v>rokprognozy=2028 i lp=510</v>
      </c>
      <c r="U61" s="34" t="str">
        <f t="shared" si="13"/>
        <v>rokprognozy=2029 i lp=510</v>
      </c>
      <c r="V61" s="34" t="str">
        <f t="shared" si="13"/>
        <v>rokprognozy=2030 i lp=510</v>
      </c>
      <c r="W61" s="34" t="str">
        <f t="shared" si="13"/>
        <v>rokprognozy=2031 i lp=510</v>
      </c>
      <c r="X61" s="34" t="str">
        <f t="shared" si="13"/>
        <v>rokprognozy=2032 i lp=510</v>
      </c>
      <c r="Y61" s="34" t="str">
        <f t="shared" si="13"/>
        <v>rokprognozy=2033 i lp=510</v>
      </c>
      <c r="Z61" s="34" t="str">
        <f t="shared" si="13"/>
        <v>rokprognozy=2034 i lp=510</v>
      </c>
      <c r="AA61" s="34" t="str">
        <f t="shared" si="13"/>
        <v>rokprognozy=2035 i lp=510</v>
      </c>
      <c r="AB61" s="34" t="str">
        <f t="shared" si="13"/>
        <v>rokprognozy=2036 i lp=510</v>
      </c>
      <c r="AC61" s="34" t="str">
        <f t="shared" si="13"/>
        <v>rokprognozy=2037 i lp=510</v>
      </c>
      <c r="AD61" s="34" t="str">
        <f t="shared" si="14"/>
        <v>rokprognozy=2038 i lp=510</v>
      </c>
      <c r="AE61" s="34" t="str">
        <f t="shared" si="14"/>
        <v>rokprognozy=2039 i lp=510</v>
      </c>
      <c r="AF61" s="34" t="str">
        <f t="shared" si="14"/>
        <v>rokprognozy=2040 i lp=510</v>
      </c>
      <c r="AG61" s="34" t="str">
        <f t="shared" si="14"/>
        <v>rokprognozy=2041 i lp=510</v>
      </c>
      <c r="AH61" s="34" t="str">
        <f t="shared" si="14"/>
        <v>rokprognozy=2042 i lp=510</v>
      </c>
    </row>
    <row r="62" spans="1:34">
      <c r="A62" s="33">
        <v>520</v>
      </c>
      <c r="B62" s="33" t="s">
        <v>101</v>
      </c>
      <c r="C62" s="34" t="s">
        <v>102</v>
      </c>
      <c r="D62" s="34" t="str">
        <f t="shared" si="3"/>
        <v>rokprognozy=2013 i lp=520</v>
      </c>
      <c r="E62" s="34" t="str">
        <f t="shared" si="12"/>
        <v>rokprognozy=2013 i lp=520</v>
      </c>
      <c r="F62" s="34" t="str">
        <f t="shared" si="12"/>
        <v>rokprognozy=2014 i lp=520</v>
      </c>
      <c r="G62" s="34" t="str">
        <f t="shared" si="12"/>
        <v>rokprognozy=2015 i lp=520</v>
      </c>
      <c r="H62" s="34" t="str">
        <f t="shared" si="12"/>
        <v>rokprognozy=2016 i lp=520</v>
      </c>
      <c r="I62" s="34" t="str">
        <f t="shared" si="12"/>
        <v>rokprognozy=2017 i lp=520</v>
      </c>
      <c r="J62" s="34" t="str">
        <f t="shared" si="12"/>
        <v>rokprognozy=2018 i lp=520</v>
      </c>
      <c r="K62" s="34" t="str">
        <f t="shared" si="12"/>
        <v>rokprognozy=2019 i lp=520</v>
      </c>
      <c r="L62" s="34" t="str">
        <f t="shared" si="12"/>
        <v>rokprognozy=2020 i lp=520</v>
      </c>
      <c r="M62" s="34" t="str">
        <f t="shared" si="12"/>
        <v>rokprognozy=2021 i lp=520</v>
      </c>
      <c r="N62" s="34" t="str">
        <f t="shared" si="13"/>
        <v>rokprognozy=2022 i lp=520</v>
      </c>
      <c r="O62" s="34" t="str">
        <f t="shared" si="13"/>
        <v>rokprognozy=2023 i lp=520</v>
      </c>
      <c r="P62" s="34" t="str">
        <f t="shared" si="13"/>
        <v>rokprognozy=2024 i lp=520</v>
      </c>
      <c r="Q62" s="34" t="str">
        <f t="shared" si="13"/>
        <v>rokprognozy=2025 i lp=520</v>
      </c>
      <c r="R62" s="34" t="str">
        <f t="shared" si="13"/>
        <v>rokprognozy=2026 i lp=520</v>
      </c>
      <c r="S62" s="34" t="str">
        <f t="shared" si="13"/>
        <v>rokprognozy=2027 i lp=520</v>
      </c>
      <c r="T62" s="34" t="str">
        <f t="shared" si="13"/>
        <v>rokprognozy=2028 i lp=520</v>
      </c>
      <c r="U62" s="34" t="str">
        <f t="shared" si="13"/>
        <v>rokprognozy=2029 i lp=520</v>
      </c>
      <c r="V62" s="34" t="str">
        <f t="shared" si="13"/>
        <v>rokprognozy=2030 i lp=520</v>
      </c>
      <c r="W62" s="34" t="str">
        <f t="shared" si="13"/>
        <v>rokprognozy=2031 i lp=520</v>
      </c>
      <c r="X62" s="34" t="str">
        <f t="shared" si="13"/>
        <v>rokprognozy=2032 i lp=520</v>
      </c>
      <c r="Y62" s="34" t="str">
        <f t="shared" si="13"/>
        <v>rokprognozy=2033 i lp=520</v>
      </c>
      <c r="Z62" s="34" t="str">
        <f t="shared" si="13"/>
        <v>rokprognozy=2034 i lp=520</v>
      </c>
      <c r="AA62" s="34" t="str">
        <f t="shared" si="13"/>
        <v>rokprognozy=2035 i lp=520</v>
      </c>
      <c r="AB62" s="34" t="str">
        <f t="shared" si="13"/>
        <v>rokprognozy=2036 i lp=520</v>
      </c>
      <c r="AC62" s="34" t="str">
        <f t="shared" si="13"/>
        <v>rokprognozy=2037 i lp=520</v>
      </c>
      <c r="AD62" s="34" t="str">
        <f t="shared" si="14"/>
        <v>rokprognozy=2038 i lp=520</v>
      </c>
      <c r="AE62" s="34" t="str">
        <f t="shared" si="14"/>
        <v>rokprognozy=2039 i lp=520</v>
      </c>
      <c r="AF62" s="34" t="str">
        <f t="shared" si="14"/>
        <v>rokprognozy=2040 i lp=520</v>
      </c>
      <c r="AG62" s="34" t="str">
        <f t="shared" si="14"/>
        <v>rokprognozy=2041 i lp=520</v>
      </c>
      <c r="AH62" s="34" t="str">
        <f t="shared" si="14"/>
        <v>rokprognozy=2042 i lp=520</v>
      </c>
    </row>
    <row r="63" spans="1:34">
      <c r="A63" s="33">
        <v>530</v>
      </c>
      <c r="B63" s="33">
        <v>9.8000000000000007</v>
      </c>
      <c r="C63" s="34" t="s">
        <v>103</v>
      </c>
      <c r="D63" s="34" t="str">
        <f t="shared" si="3"/>
        <v>rokprognozy=2013 i lp=530</v>
      </c>
      <c r="E63" s="34" t="str">
        <f t="shared" si="12"/>
        <v>rokprognozy=2013 i lp=530</v>
      </c>
      <c r="F63" s="34" t="str">
        <f t="shared" si="12"/>
        <v>rokprognozy=2014 i lp=530</v>
      </c>
      <c r="G63" s="34" t="str">
        <f t="shared" si="12"/>
        <v>rokprognozy=2015 i lp=530</v>
      </c>
      <c r="H63" s="34" t="str">
        <f t="shared" si="12"/>
        <v>rokprognozy=2016 i lp=530</v>
      </c>
      <c r="I63" s="34" t="str">
        <f t="shared" si="12"/>
        <v>rokprognozy=2017 i lp=530</v>
      </c>
      <c r="J63" s="34" t="str">
        <f t="shared" si="12"/>
        <v>rokprognozy=2018 i lp=530</v>
      </c>
      <c r="K63" s="34" t="str">
        <f t="shared" si="12"/>
        <v>rokprognozy=2019 i lp=530</v>
      </c>
      <c r="L63" s="34" t="str">
        <f t="shared" si="12"/>
        <v>rokprognozy=2020 i lp=530</v>
      </c>
      <c r="M63" s="34" t="str">
        <f t="shared" si="12"/>
        <v>rokprognozy=2021 i lp=530</v>
      </c>
      <c r="N63" s="34" t="str">
        <f t="shared" si="13"/>
        <v>rokprognozy=2022 i lp=530</v>
      </c>
      <c r="O63" s="34" t="str">
        <f t="shared" si="13"/>
        <v>rokprognozy=2023 i lp=530</v>
      </c>
      <c r="P63" s="34" t="str">
        <f t="shared" si="13"/>
        <v>rokprognozy=2024 i lp=530</v>
      </c>
      <c r="Q63" s="34" t="str">
        <f t="shared" si="13"/>
        <v>rokprognozy=2025 i lp=530</v>
      </c>
      <c r="R63" s="34" t="str">
        <f t="shared" si="13"/>
        <v>rokprognozy=2026 i lp=530</v>
      </c>
      <c r="S63" s="34" t="str">
        <f t="shared" si="13"/>
        <v>rokprognozy=2027 i lp=530</v>
      </c>
      <c r="T63" s="34" t="str">
        <f t="shared" si="13"/>
        <v>rokprognozy=2028 i lp=530</v>
      </c>
      <c r="U63" s="34" t="str">
        <f t="shared" si="13"/>
        <v>rokprognozy=2029 i lp=530</v>
      </c>
      <c r="V63" s="34" t="str">
        <f t="shared" si="13"/>
        <v>rokprognozy=2030 i lp=530</v>
      </c>
      <c r="W63" s="34" t="str">
        <f t="shared" si="13"/>
        <v>rokprognozy=2031 i lp=530</v>
      </c>
      <c r="X63" s="34" t="str">
        <f t="shared" si="13"/>
        <v>rokprognozy=2032 i lp=530</v>
      </c>
      <c r="Y63" s="34" t="str">
        <f t="shared" si="13"/>
        <v>rokprognozy=2033 i lp=530</v>
      </c>
      <c r="Z63" s="34" t="str">
        <f t="shared" si="13"/>
        <v>rokprognozy=2034 i lp=530</v>
      </c>
      <c r="AA63" s="34" t="str">
        <f t="shared" si="13"/>
        <v>rokprognozy=2035 i lp=530</v>
      </c>
      <c r="AB63" s="34" t="str">
        <f t="shared" si="13"/>
        <v>rokprognozy=2036 i lp=530</v>
      </c>
      <c r="AC63" s="34" t="str">
        <f t="shared" si="13"/>
        <v>rokprognozy=2037 i lp=530</v>
      </c>
      <c r="AD63" s="34" t="str">
        <f t="shared" si="14"/>
        <v>rokprognozy=2038 i lp=530</v>
      </c>
      <c r="AE63" s="34" t="str">
        <f t="shared" si="14"/>
        <v>rokprognozy=2039 i lp=530</v>
      </c>
      <c r="AF63" s="34" t="str">
        <f t="shared" si="14"/>
        <v>rokprognozy=2040 i lp=530</v>
      </c>
      <c r="AG63" s="34" t="str">
        <f t="shared" si="14"/>
        <v>rokprognozy=2041 i lp=530</v>
      </c>
      <c r="AH63" s="34" t="str">
        <f t="shared" si="14"/>
        <v>rokprognozy=2042 i lp=530</v>
      </c>
    </row>
    <row r="64" spans="1:34">
      <c r="A64" s="33">
        <v>540</v>
      </c>
      <c r="B64" s="33" t="s">
        <v>104</v>
      </c>
      <c r="C64" s="34" t="s">
        <v>105</v>
      </c>
      <c r="D64" s="34" t="str">
        <f t="shared" si="3"/>
        <v>rokprognozy=2013 i lp=540</v>
      </c>
      <c r="E64" s="34" t="str">
        <f t="shared" si="12"/>
        <v>rokprognozy=2013 i lp=540</v>
      </c>
      <c r="F64" s="34" t="str">
        <f t="shared" si="12"/>
        <v>rokprognozy=2014 i lp=540</v>
      </c>
      <c r="G64" s="34" t="str">
        <f t="shared" si="12"/>
        <v>rokprognozy=2015 i lp=540</v>
      </c>
      <c r="H64" s="34" t="str">
        <f t="shared" si="12"/>
        <v>rokprognozy=2016 i lp=540</v>
      </c>
      <c r="I64" s="34" t="str">
        <f t="shared" si="12"/>
        <v>rokprognozy=2017 i lp=540</v>
      </c>
      <c r="J64" s="34" t="str">
        <f t="shared" si="12"/>
        <v>rokprognozy=2018 i lp=540</v>
      </c>
      <c r="K64" s="34" t="str">
        <f t="shared" si="12"/>
        <v>rokprognozy=2019 i lp=540</v>
      </c>
      <c r="L64" s="34" t="str">
        <f t="shared" si="12"/>
        <v>rokprognozy=2020 i lp=540</v>
      </c>
      <c r="M64" s="34" t="str">
        <f t="shared" si="12"/>
        <v>rokprognozy=2021 i lp=540</v>
      </c>
      <c r="N64" s="34" t="str">
        <f t="shared" si="13"/>
        <v>rokprognozy=2022 i lp=540</v>
      </c>
      <c r="O64" s="34" t="str">
        <f t="shared" si="13"/>
        <v>rokprognozy=2023 i lp=540</v>
      </c>
      <c r="P64" s="34" t="str">
        <f t="shared" si="13"/>
        <v>rokprognozy=2024 i lp=540</v>
      </c>
      <c r="Q64" s="34" t="str">
        <f t="shared" si="13"/>
        <v>rokprognozy=2025 i lp=540</v>
      </c>
      <c r="R64" s="34" t="str">
        <f t="shared" si="13"/>
        <v>rokprognozy=2026 i lp=540</v>
      </c>
      <c r="S64" s="34" t="str">
        <f t="shared" si="13"/>
        <v>rokprognozy=2027 i lp=540</v>
      </c>
      <c r="T64" s="34" t="str">
        <f t="shared" si="13"/>
        <v>rokprognozy=2028 i lp=540</v>
      </c>
      <c r="U64" s="34" t="str">
        <f t="shared" si="13"/>
        <v>rokprognozy=2029 i lp=540</v>
      </c>
      <c r="V64" s="34" t="str">
        <f t="shared" si="13"/>
        <v>rokprognozy=2030 i lp=540</v>
      </c>
      <c r="W64" s="34" t="str">
        <f t="shared" si="13"/>
        <v>rokprognozy=2031 i lp=540</v>
      </c>
      <c r="X64" s="34" t="str">
        <f t="shared" si="13"/>
        <v>rokprognozy=2032 i lp=540</v>
      </c>
      <c r="Y64" s="34" t="str">
        <f t="shared" si="13"/>
        <v>rokprognozy=2033 i lp=540</v>
      </c>
      <c r="Z64" s="34" t="str">
        <f t="shared" si="13"/>
        <v>rokprognozy=2034 i lp=540</v>
      </c>
      <c r="AA64" s="34" t="str">
        <f t="shared" si="13"/>
        <v>rokprognozy=2035 i lp=540</v>
      </c>
      <c r="AB64" s="34" t="str">
        <f t="shared" si="13"/>
        <v>rokprognozy=2036 i lp=540</v>
      </c>
      <c r="AC64" s="34" t="str">
        <f t="shared" si="13"/>
        <v>rokprognozy=2037 i lp=540</v>
      </c>
      <c r="AD64" s="34" t="str">
        <f t="shared" si="14"/>
        <v>rokprognozy=2038 i lp=540</v>
      </c>
      <c r="AE64" s="34" t="str">
        <f t="shared" si="14"/>
        <v>rokprognozy=2039 i lp=540</v>
      </c>
      <c r="AF64" s="34" t="str">
        <f t="shared" si="14"/>
        <v>rokprognozy=2040 i lp=540</v>
      </c>
      <c r="AG64" s="34" t="str">
        <f t="shared" si="14"/>
        <v>rokprognozy=2041 i lp=540</v>
      </c>
      <c r="AH64" s="34" t="str">
        <f t="shared" si="14"/>
        <v>rokprognozy=2042 i lp=540</v>
      </c>
    </row>
    <row r="65" spans="1:34">
      <c r="A65" s="33">
        <v>550</v>
      </c>
      <c r="B65" s="33">
        <v>10</v>
      </c>
      <c r="C65" s="34" t="s">
        <v>106</v>
      </c>
      <c r="D65" s="34" t="str">
        <f t="shared" si="3"/>
        <v>rokprognozy=2013 i lp=550</v>
      </c>
      <c r="E65" s="34" t="str">
        <f t="shared" si="12"/>
        <v>rokprognozy=2013 i lp=550</v>
      </c>
      <c r="F65" s="34" t="str">
        <f t="shared" si="12"/>
        <v>rokprognozy=2014 i lp=550</v>
      </c>
      <c r="G65" s="34" t="str">
        <f t="shared" si="12"/>
        <v>rokprognozy=2015 i lp=550</v>
      </c>
      <c r="H65" s="34" t="str">
        <f t="shared" si="12"/>
        <v>rokprognozy=2016 i lp=550</v>
      </c>
      <c r="I65" s="34" t="str">
        <f t="shared" si="12"/>
        <v>rokprognozy=2017 i lp=550</v>
      </c>
      <c r="J65" s="34" t="str">
        <f t="shared" si="12"/>
        <v>rokprognozy=2018 i lp=550</v>
      </c>
      <c r="K65" s="34" t="str">
        <f t="shared" si="12"/>
        <v>rokprognozy=2019 i lp=550</v>
      </c>
      <c r="L65" s="34" t="str">
        <f t="shared" si="12"/>
        <v>rokprognozy=2020 i lp=550</v>
      </c>
      <c r="M65" s="34" t="str">
        <f t="shared" si="12"/>
        <v>rokprognozy=2021 i lp=550</v>
      </c>
      <c r="N65" s="34" t="str">
        <f t="shared" si="13"/>
        <v>rokprognozy=2022 i lp=550</v>
      </c>
      <c r="O65" s="34" t="str">
        <f t="shared" si="13"/>
        <v>rokprognozy=2023 i lp=550</v>
      </c>
      <c r="P65" s="34" t="str">
        <f t="shared" si="13"/>
        <v>rokprognozy=2024 i lp=550</v>
      </c>
      <c r="Q65" s="34" t="str">
        <f t="shared" si="13"/>
        <v>rokprognozy=2025 i lp=550</v>
      </c>
      <c r="R65" s="34" t="str">
        <f t="shared" si="13"/>
        <v>rokprognozy=2026 i lp=550</v>
      </c>
      <c r="S65" s="34" t="str">
        <f t="shared" si="13"/>
        <v>rokprognozy=2027 i lp=550</v>
      </c>
      <c r="T65" s="34" t="str">
        <f t="shared" si="13"/>
        <v>rokprognozy=2028 i lp=550</v>
      </c>
      <c r="U65" s="34" t="str">
        <f t="shared" si="13"/>
        <v>rokprognozy=2029 i lp=550</v>
      </c>
      <c r="V65" s="34" t="str">
        <f t="shared" si="13"/>
        <v>rokprognozy=2030 i lp=550</v>
      </c>
      <c r="W65" s="34" t="str">
        <f t="shared" si="13"/>
        <v>rokprognozy=2031 i lp=550</v>
      </c>
      <c r="X65" s="34" t="str">
        <f t="shared" si="13"/>
        <v>rokprognozy=2032 i lp=550</v>
      </c>
      <c r="Y65" s="34" t="str">
        <f t="shared" si="13"/>
        <v>rokprognozy=2033 i lp=550</v>
      </c>
      <c r="Z65" s="34" t="str">
        <f t="shared" si="13"/>
        <v>rokprognozy=2034 i lp=550</v>
      </c>
      <c r="AA65" s="34" t="str">
        <f t="shared" si="13"/>
        <v>rokprognozy=2035 i lp=550</v>
      </c>
      <c r="AB65" s="34" t="str">
        <f t="shared" si="13"/>
        <v>rokprognozy=2036 i lp=550</v>
      </c>
      <c r="AC65" s="34" t="str">
        <f t="shared" si="13"/>
        <v>rokprognozy=2037 i lp=550</v>
      </c>
      <c r="AD65" s="34" t="str">
        <f t="shared" si="14"/>
        <v>rokprognozy=2038 i lp=550</v>
      </c>
      <c r="AE65" s="34" t="str">
        <f t="shared" si="14"/>
        <v>rokprognozy=2039 i lp=550</v>
      </c>
      <c r="AF65" s="34" t="str">
        <f t="shared" si="14"/>
        <v>rokprognozy=2040 i lp=550</v>
      </c>
      <c r="AG65" s="34" t="str">
        <f t="shared" si="14"/>
        <v>rokprognozy=2041 i lp=550</v>
      </c>
      <c r="AH65" s="34" t="str">
        <f t="shared" si="14"/>
        <v>rokprognozy=2042 i lp=550</v>
      </c>
    </row>
    <row r="66" spans="1:34">
      <c r="A66" s="33">
        <v>560</v>
      </c>
      <c r="B66" s="33">
        <v>10.1</v>
      </c>
      <c r="C66" s="34" t="s">
        <v>107</v>
      </c>
      <c r="D66" s="34" t="str">
        <f t="shared" si="3"/>
        <v>rokprognozy=2013 i lp=560</v>
      </c>
      <c r="E66" s="34" t="str">
        <f t="shared" si="12"/>
        <v>rokprognozy=2013 i lp=560</v>
      </c>
      <c r="F66" s="34" t="str">
        <f t="shared" si="12"/>
        <v>rokprognozy=2014 i lp=560</v>
      </c>
      <c r="G66" s="34" t="str">
        <f t="shared" si="12"/>
        <v>rokprognozy=2015 i lp=560</v>
      </c>
      <c r="H66" s="34" t="str">
        <f t="shared" si="12"/>
        <v>rokprognozy=2016 i lp=560</v>
      </c>
      <c r="I66" s="34" t="str">
        <f t="shared" si="12"/>
        <v>rokprognozy=2017 i lp=560</v>
      </c>
      <c r="J66" s="34" t="str">
        <f t="shared" si="12"/>
        <v>rokprognozy=2018 i lp=560</v>
      </c>
      <c r="K66" s="34" t="str">
        <f t="shared" si="12"/>
        <v>rokprognozy=2019 i lp=560</v>
      </c>
      <c r="L66" s="34" t="str">
        <f t="shared" si="12"/>
        <v>rokprognozy=2020 i lp=560</v>
      </c>
      <c r="M66" s="34" t="str">
        <f t="shared" si="12"/>
        <v>rokprognozy=2021 i lp=560</v>
      </c>
      <c r="N66" s="34" t="str">
        <f t="shared" si="13"/>
        <v>rokprognozy=2022 i lp=560</v>
      </c>
      <c r="O66" s="34" t="str">
        <f t="shared" si="13"/>
        <v>rokprognozy=2023 i lp=560</v>
      </c>
      <c r="P66" s="34" t="str">
        <f t="shared" si="13"/>
        <v>rokprognozy=2024 i lp=560</v>
      </c>
      <c r="Q66" s="34" t="str">
        <f t="shared" si="13"/>
        <v>rokprognozy=2025 i lp=560</v>
      </c>
      <c r="R66" s="34" t="str">
        <f t="shared" si="13"/>
        <v>rokprognozy=2026 i lp=560</v>
      </c>
      <c r="S66" s="34" t="str">
        <f t="shared" si="13"/>
        <v>rokprognozy=2027 i lp=560</v>
      </c>
      <c r="T66" s="34" t="str">
        <f t="shared" si="13"/>
        <v>rokprognozy=2028 i lp=560</v>
      </c>
      <c r="U66" s="34" t="str">
        <f t="shared" si="13"/>
        <v>rokprognozy=2029 i lp=560</v>
      </c>
      <c r="V66" s="34" t="str">
        <f t="shared" si="13"/>
        <v>rokprognozy=2030 i lp=560</v>
      </c>
      <c r="W66" s="34" t="str">
        <f t="shared" si="13"/>
        <v>rokprognozy=2031 i lp=560</v>
      </c>
      <c r="X66" s="34" t="str">
        <f t="shared" si="13"/>
        <v>rokprognozy=2032 i lp=560</v>
      </c>
      <c r="Y66" s="34" t="str">
        <f t="shared" si="13"/>
        <v>rokprognozy=2033 i lp=560</v>
      </c>
      <c r="Z66" s="34" t="str">
        <f t="shared" si="13"/>
        <v>rokprognozy=2034 i lp=560</v>
      </c>
      <c r="AA66" s="34" t="str">
        <f t="shared" si="13"/>
        <v>rokprognozy=2035 i lp=560</v>
      </c>
      <c r="AB66" s="34" t="str">
        <f t="shared" si="13"/>
        <v>rokprognozy=2036 i lp=560</v>
      </c>
      <c r="AC66" s="34" t="str">
        <f t="shared" si="13"/>
        <v>rokprognozy=2037 i lp=560</v>
      </c>
      <c r="AD66" s="34" t="str">
        <f t="shared" si="14"/>
        <v>rokprognozy=2038 i lp=560</v>
      </c>
      <c r="AE66" s="34" t="str">
        <f t="shared" si="14"/>
        <v>rokprognozy=2039 i lp=560</v>
      </c>
      <c r="AF66" s="34" t="str">
        <f t="shared" si="14"/>
        <v>rokprognozy=2040 i lp=560</v>
      </c>
      <c r="AG66" s="34" t="str">
        <f t="shared" si="14"/>
        <v>rokprognozy=2041 i lp=560</v>
      </c>
      <c r="AH66" s="34" t="str">
        <f t="shared" si="14"/>
        <v>rokprognozy=2042 i lp=560</v>
      </c>
    </row>
    <row r="67" spans="1:34">
      <c r="A67" s="33">
        <v>570</v>
      </c>
      <c r="B67" s="33">
        <v>11</v>
      </c>
      <c r="C67" s="34" t="s">
        <v>108</v>
      </c>
      <c r="D67" s="34" t="str">
        <f t="shared" si="3"/>
        <v>rokprognozy=2013 i lp=570</v>
      </c>
      <c r="E67" s="34" t="str">
        <f t="shared" si="12"/>
        <v>rokprognozy=2013 i lp=570</v>
      </c>
      <c r="F67" s="34" t="str">
        <f t="shared" si="12"/>
        <v>rokprognozy=2014 i lp=570</v>
      </c>
      <c r="G67" s="34" t="str">
        <f t="shared" si="12"/>
        <v>rokprognozy=2015 i lp=570</v>
      </c>
      <c r="H67" s="34" t="str">
        <f t="shared" si="12"/>
        <v>rokprognozy=2016 i lp=570</v>
      </c>
      <c r="I67" s="34" t="str">
        <f t="shared" si="12"/>
        <v>rokprognozy=2017 i lp=570</v>
      </c>
      <c r="J67" s="34" t="str">
        <f t="shared" si="12"/>
        <v>rokprognozy=2018 i lp=570</v>
      </c>
      <c r="K67" s="34" t="str">
        <f t="shared" si="12"/>
        <v>rokprognozy=2019 i lp=570</v>
      </c>
      <c r="L67" s="34" t="str">
        <f t="shared" si="12"/>
        <v>rokprognozy=2020 i lp=570</v>
      </c>
      <c r="M67" s="34" t="str">
        <f t="shared" si="12"/>
        <v>rokprognozy=2021 i lp=570</v>
      </c>
      <c r="N67" s="34" t="str">
        <f t="shared" si="13"/>
        <v>rokprognozy=2022 i lp=570</v>
      </c>
      <c r="O67" s="34" t="str">
        <f t="shared" si="13"/>
        <v>rokprognozy=2023 i lp=570</v>
      </c>
      <c r="P67" s="34" t="str">
        <f t="shared" si="13"/>
        <v>rokprognozy=2024 i lp=570</v>
      </c>
      <c r="Q67" s="34" t="str">
        <f t="shared" si="13"/>
        <v>rokprognozy=2025 i lp=570</v>
      </c>
      <c r="R67" s="34" t="str">
        <f t="shared" si="13"/>
        <v>rokprognozy=2026 i lp=570</v>
      </c>
      <c r="S67" s="34" t="str">
        <f t="shared" si="13"/>
        <v>rokprognozy=2027 i lp=570</v>
      </c>
      <c r="T67" s="34" t="str">
        <f t="shared" si="13"/>
        <v>rokprognozy=2028 i lp=570</v>
      </c>
      <c r="U67" s="34" t="str">
        <f t="shared" si="13"/>
        <v>rokprognozy=2029 i lp=570</v>
      </c>
      <c r="V67" s="34" t="str">
        <f t="shared" si="13"/>
        <v>rokprognozy=2030 i lp=570</v>
      </c>
      <c r="W67" s="34" t="str">
        <f t="shared" si="13"/>
        <v>rokprognozy=2031 i lp=570</v>
      </c>
      <c r="X67" s="34" t="str">
        <f t="shared" si="13"/>
        <v>rokprognozy=2032 i lp=570</v>
      </c>
      <c r="Y67" s="34" t="str">
        <f t="shared" si="13"/>
        <v>rokprognozy=2033 i lp=570</v>
      </c>
      <c r="Z67" s="34" t="str">
        <f t="shared" si="13"/>
        <v>rokprognozy=2034 i lp=570</v>
      </c>
      <c r="AA67" s="34" t="str">
        <f t="shared" si="13"/>
        <v>rokprognozy=2035 i lp=570</v>
      </c>
      <c r="AB67" s="34" t="str">
        <f t="shared" si="13"/>
        <v>rokprognozy=2036 i lp=570</v>
      </c>
      <c r="AC67" s="34" t="str">
        <f t="shared" si="13"/>
        <v>rokprognozy=2037 i lp=570</v>
      </c>
      <c r="AD67" s="34" t="str">
        <f t="shared" si="14"/>
        <v>rokprognozy=2038 i lp=570</v>
      </c>
      <c r="AE67" s="34" t="str">
        <f t="shared" si="14"/>
        <v>rokprognozy=2039 i lp=570</v>
      </c>
      <c r="AF67" s="34" t="str">
        <f t="shared" si="14"/>
        <v>rokprognozy=2040 i lp=570</v>
      </c>
      <c r="AG67" s="34" t="str">
        <f t="shared" si="14"/>
        <v>rokprognozy=2041 i lp=570</v>
      </c>
      <c r="AH67" s="34" t="str">
        <f t="shared" si="14"/>
        <v>rokprognozy=2042 i lp=570</v>
      </c>
    </row>
    <row r="68" spans="1:34">
      <c r="A68" s="33">
        <v>580</v>
      </c>
      <c r="B68" s="33">
        <v>11.1</v>
      </c>
      <c r="C68" s="34" t="s">
        <v>109</v>
      </c>
      <c r="D68" s="34" t="str">
        <f t="shared" si="3"/>
        <v>rokprognozy=2013 i lp=580</v>
      </c>
      <c r="E68" s="34" t="str">
        <f t="shared" si="12"/>
        <v>rokprognozy=2013 i lp=580</v>
      </c>
      <c r="F68" s="34" t="str">
        <f t="shared" si="12"/>
        <v>rokprognozy=2014 i lp=580</v>
      </c>
      <c r="G68" s="34" t="str">
        <f t="shared" si="12"/>
        <v>rokprognozy=2015 i lp=580</v>
      </c>
      <c r="H68" s="34" t="str">
        <f t="shared" si="12"/>
        <v>rokprognozy=2016 i lp=580</v>
      </c>
      <c r="I68" s="34" t="str">
        <f t="shared" si="12"/>
        <v>rokprognozy=2017 i lp=580</v>
      </c>
      <c r="J68" s="34" t="str">
        <f t="shared" si="12"/>
        <v>rokprognozy=2018 i lp=580</v>
      </c>
      <c r="K68" s="34" t="str">
        <f t="shared" si="12"/>
        <v>rokprognozy=2019 i lp=580</v>
      </c>
      <c r="L68" s="34" t="str">
        <f t="shared" si="12"/>
        <v>rokprognozy=2020 i lp=580</v>
      </c>
      <c r="M68" s="34" t="str">
        <f t="shared" si="12"/>
        <v>rokprognozy=2021 i lp=580</v>
      </c>
      <c r="N68" s="34" t="str">
        <f t="shared" si="13"/>
        <v>rokprognozy=2022 i lp=580</v>
      </c>
      <c r="O68" s="34" t="str">
        <f t="shared" si="13"/>
        <v>rokprognozy=2023 i lp=580</v>
      </c>
      <c r="P68" s="34" t="str">
        <f t="shared" si="13"/>
        <v>rokprognozy=2024 i lp=580</v>
      </c>
      <c r="Q68" s="34" t="str">
        <f t="shared" si="13"/>
        <v>rokprognozy=2025 i lp=580</v>
      </c>
      <c r="R68" s="34" t="str">
        <f t="shared" si="13"/>
        <v>rokprognozy=2026 i lp=580</v>
      </c>
      <c r="S68" s="34" t="str">
        <f t="shared" si="13"/>
        <v>rokprognozy=2027 i lp=580</v>
      </c>
      <c r="T68" s="34" t="str">
        <f t="shared" si="13"/>
        <v>rokprognozy=2028 i lp=580</v>
      </c>
      <c r="U68" s="34" t="str">
        <f t="shared" si="13"/>
        <v>rokprognozy=2029 i lp=580</v>
      </c>
      <c r="V68" s="34" t="str">
        <f t="shared" si="13"/>
        <v>rokprognozy=2030 i lp=580</v>
      </c>
      <c r="W68" s="34" t="str">
        <f t="shared" si="13"/>
        <v>rokprognozy=2031 i lp=580</v>
      </c>
      <c r="X68" s="34" t="str">
        <f t="shared" si="13"/>
        <v>rokprognozy=2032 i lp=580</v>
      </c>
      <c r="Y68" s="34" t="str">
        <f t="shared" si="13"/>
        <v>rokprognozy=2033 i lp=580</v>
      </c>
      <c r="Z68" s="34" t="str">
        <f t="shared" si="13"/>
        <v>rokprognozy=2034 i lp=580</v>
      </c>
      <c r="AA68" s="34" t="str">
        <f t="shared" si="13"/>
        <v>rokprognozy=2035 i lp=580</v>
      </c>
      <c r="AB68" s="34" t="str">
        <f t="shared" si="13"/>
        <v>rokprognozy=2036 i lp=580</v>
      </c>
      <c r="AC68" s="34" t="str">
        <f t="shared" si="13"/>
        <v>rokprognozy=2037 i lp=580</v>
      </c>
      <c r="AD68" s="34" t="str">
        <f t="shared" si="14"/>
        <v>rokprognozy=2038 i lp=580</v>
      </c>
      <c r="AE68" s="34" t="str">
        <f t="shared" si="14"/>
        <v>rokprognozy=2039 i lp=580</v>
      </c>
      <c r="AF68" s="34" t="str">
        <f t="shared" si="14"/>
        <v>rokprognozy=2040 i lp=580</v>
      </c>
      <c r="AG68" s="34" t="str">
        <f t="shared" si="14"/>
        <v>rokprognozy=2041 i lp=580</v>
      </c>
      <c r="AH68" s="34" t="str">
        <f t="shared" si="14"/>
        <v>rokprognozy=2042 i lp=580</v>
      </c>
    </row>
    <row r="69" spans="1:34">
      <c r="A69" s="33">
        <v>590</v>
      </c>
      <c r="B69" s="33">
        <v>11.2</v>
      </c>
      <c r="C69" s="34" t="s">
        <v>110</v>
      </c>
      <c r="D69" s="34" t="str">
        <f t="shared" si="3"/>
        <v>rokprognozy=2013 i lp=590</v>
      </c>
      <c r="E69" s="34" t="str">
        <f t="shared" ref="E69:T84" si="15">+"rokprognozy="&amp;E$9&amp;" i lp="&amp;$A69</f>
        <v>rokprognozy=2013 i lp=590</v>
      </c>
      <c r="F69" s="34" t="str">
        <f t="shared" si="15"/>
        <v>rokprognozy=2014 i lp=590</v>
      </c>
      <c r="G69" s="34" t="str">
        <f t="shared" si="15"/>
        <v>rokprognozy=2015 i lp=590</v>
      </c>
      <c r="H69" s="34" t="str">
        <f t="shared" si="15"/>
        <v>rokprognozy=2016 i lp=590</v>
      </c>
      <c r="I69" s="34" t="str">
        <f t="shared" si="15"/>
        <v>rokprognozy=2017 i lp=590</v>
      </c>
      <c r="J69" s="34" t="str">
        <f t="shared" si="15"/>
        <v>rokprognozy=2018 i lp=590</v>
      </c>
      <c r="K69" s="34" t="str">
        <f t="shared" si="15"/>
        <v>rokprognozy=2019 i lp=590</v>
      </c>
      <c r="L69" s="34" t="str">
        <f t="shared" si="15"/>
        <v>rokprognozy=2020 i lp=590</v>
      </c>
      <c r="M69" s="34" t="str">
        <f t="shared" si="15"/>
        <v>rokprognozy=2021 i lp=590</v>
      </c>
      <c r="N69" s="34" t="str">
        <f t="shared" si="13"/>
        <v>rokprognozy=2022 i lp=590</v>
      </c>
      <c r="O69" s="34" t="str">
        <f t="shared" si="13"/>
        <v>rokprognozy=2023 i lp=590</v>
      </c>
      <c r="P69" s="34" t="str">
        <f t="shared" si="13"/>
        <v>rokprognozy=2024 i lp=590</v>
      </c>
      <c r="Q69" s="34" t="str">
        <f t="shared" si="13"/>
        <v>rokprognozy=2025 i lp=590</v>
      </c>
      <c r="R69" s="34" t="str">
        <f t="shared" si="13"/>
        <v>rokprognozy=2026 i lp=590</v>
      </c>
      <c r="S69" s="34" t="str">
        <f t="shared" si="13"/>
        <v>rokprognozy=2027 i lp=590</v>
      </c>
      <c r="T69" s="34" t="str">
        <f t="shared" si="13"/>
        <v>rokprognozy=2028 i lp=590</v>
      </c>
      <c r="U69" s="34" t="str">
        <f t="shared" si="13"/>
        <v>rokprognozy=2029 i lp=590</v>
      </c>
      <c r="V69" s="34" t="str">
        <f t="shared" si="13"/>
        <v>rokprognozy=2030 i lp=590</v>
      </c>
      <c r="W69" s="34" t="str">
        <f t="shared" si="13"/>
        <v>rokprognozy=2031 i lp=590</v>
      </c>
      <c r="X69" s="34" t="str">
        <f t="shared" si="13"/>
        <v>rokprognozy=2032 i lp=590</v>
      </c>
      <c r="Y69" s="34" t="str">
        <f t="shared" si="13"/>
        <v>rokprognozy=2033 i lp=590</v>
      </c>
      <c r="Z69" s="34" t="str">
        <f t="shared" si="13"/>
        <v>rokprognozy=2034 i lp=590</v>
      </c>
      <c r="AA69" s="34" t="str">
        <f t="shared" si="13"/>
        <v>rokprognozy=2035 i lp=590</v>
      </c>
      <c r="AB69" s="34" t="str">
        <f t="shared" si="13"/>
        <v>rokprognozy=2036 i lp=590</v>
      </c>
      <c r="AC69" s="34" t="str">
        <f t="shared" si="13"/>
        <v>rokprognozy=2037 i lp=590</v>
      </c>
      <c r="AD69" s="34" t="str">
        <f t="shared" si="14"/>
        <v>rokprognozy=2038 i lp=590</v>
      </c>
      <c r="AE69" s="34" t="str">
        <f t="shared" si="14"/>
        <v>rokprognozy=2039 i lp=590</v>
      </c>
      <c r="AF69" s="34" t="str">
        <f t="shared" si="14"/>
        <v>rokprognozy=2040 i lp=590</v>
      </c>
      <c r="AG69" s="34" t="str">
        <f t="shared" si="14"/>
        <v>rokprognozy=2041 i lp=590</v>
      </c>
      <c r="AH69" s="34" t="str">
        <f t="shared" si="14"/>
        <v>rokprognozy=2042 i lp=590</v>
      </c>
    </row>
    <row r="70" spans="1:34">
      <c r="A70" s="33">
        <v>600</v>
      </c>
      <c r="B70" s="33">
        <v>11.3</v>
      </c>
      <c r="C70" s="34" t="s">
        <v>111</v>
      </c>
      <c r="D70" s="34" t="str">
        <f t="shared" si="3"/>
        <v>rokprognozy=2013 i lp=600</v>
      </c>
      <c r="E70" s="34" t="str">
        <f t="shared" si="15"/>
        <v>rokprognozy=2013 i lp=600</v>
      </c>
      <c r="F70" s="34" t="str">
        <f t="shared" si="15"/>
        <v>rokprognozy=2014 i lp=600</v>
      </c>
      <c r="G70" s="34" t="str">
        <f t="shared" si="15"/>
        <v>rokprognozy=2015 i lp=600</v>
      </c>
      <c r="H70" s="34" t="str">
        <f t="shared" si="15"/>
        <v>rokprognozy=2016 i lp=600</v>
      </c>
      <c r="I70" s="34" t="str">
        <f t="shared" si="15"/>
        <v>rokprognozy=2017 i lp=600</v>
      </c>
      <c r="J70" s="34" t="str">
        <f t="shared" si="15"/>
        <v>rokprognozy=2018 i lp=600</v>
      </c>
      <c r="K70" s="34" t="str">
        <f t="shared" si="15"/>
        <v>rokprognozy=2019 i lp=600</v>
      </c>
      <c r="L70" s="34" t="str">
        <f t="shared" si="15"/>
        <v>rokprognozy=2020 i lp=600</v>
      </c>
      <c r="M70" s="34" t="str">
        <f t="shared" si="15"/>
        <v>rokprognozy=2021 i lp=600</v>
      </c>
      <c r="N70" s="34" t="str">
        <f t="shared" si="13"/>
        <v>rokprognozy=2022 i lp=600</v>
      </c>
      <c r="O70" s="34" t="str">
        <f t="shared" si="13"/>
        <v>rokprognozy=2023 i lp=600</v>
      </c>
      <c r="P70" s="34" t="str">
        <f t="shared" si="13"/>
        <v>rokprognozy=2024 i lp=600</v>
      </c>
      <c r="Q70" s="34" t="str">
        <f t="shared" si="13"/>
        <v>rokprognozy=2025 i lp=600</v>
      </c>
      <c r="R70" s="34" t="str">
        <f t="shared" si="13"/>
        <v>rokprognozy=2026 i lp=600</v>
      </c>
      <c r="S70" s="34" t="str">
        <f t="shared" si="13"/>
        <v>rokprognozy=2027 i lp=600</v>
      </c>
      <c r="T70" s="34" t="str">
        <f t="shared" si="13"/>
        <v>rokprognozy=2028 i lp=600</v>
      </c>
      <c r="U70" s="34" t="str">
        <f t="shared" si="13"/>
        <v>rokprognozy=2029 i lp=600</v>
      </c>
      <c r="V70" s="34" t="str">
        <f t="shared" si="13"/>
        <v>rokprognozy=2030 i lp=600</v>
      </c>
      <c r="W70" s="34" t="str">
        <f t="shared" si="13"/>
        <v>rokprognozy=2031 i lp=600</v>
      </c>
      <c r="X70" s="34" t="str">
        <f t="shared" si="13"/>
        <v>rokprognozy=2032 i lp=600</v>
      </c>
      <c r="Y70" s="34" t="str">
        <f t="shared" si="13"/>
        <v>rokprognozy=2033 i lp=600</v>
      </c>
      <c r="Z70" s="34" t="str">
        <f t="shared" si="13"/>
        <v>rokprognozy=2034 i lp=600</v>
      </c>
      <c r="AA70" s="34" t="str">
        <f t="shared" si="13"/>
        <v>rokprognozy=2035 i lp=600</v>
      </c>
      <c r="AB70" s="34" t="str">
        <f t="shared" si="13"/>
        <v>rokprognozy=2036 i lp=600</v>
      </c>
      <c r="AC70" s="34" t="str">
        <f t="shared" si="13"/>
        <v>rokprognozy=2037 i lp=600</v>
      </c>
      <c r="AD70" s="34" t="str">
        <f t="shared" si="14"/>
        <v>rokprognozy=2038 i lp=600</v>
      </c>
      <c r="AE70" s="34" t="str">
        <f t="shared" si="14"/>
        <v>rokprognozy=2039 i lp=600</v>
      </c>
      <c r="AF70" s="34" t="str">
        <f t="shared" si="14"/>
        <v>rokprognozy=2040 i lp=600</v>
      </c>
      <c r="AG70" s="34" t="str">
        <f t="shared" si="14"/>
        <v>rokprognozy=2041 i lp=600</v>
      </c>
      <c r="AH70" s="34" t="str">
        <f t="shared" si="14"/>
        <v>rokprognozy=2042 i lp=600</v>
      </c>
    </row>
    <row r="71" spans="1:34">
      <c r="A71" s="33">
        <v>610</v>
      </c>
      <c r="B71" s="33" t="s">
        <v>112</v>
      </c>
      <c r="C71" s="34" t="s">
        <v>113</v>
      </c>
      <c r="D71" s="34" t="str">
        <f t="shared" si="3"/>
        <v>rokprognozy=2013 i lp=610</v>
      </c>
      <c r="E71" s="34" t="str">
        <f t="shared" si="15"/>
        <v>rokprognozy=2013 i lp=610</v>
      </c>
      <c r="F71" s="34" t="str">
        <f t="shared" si="15"/>
        <v>rokprognozy=2014 i lp=610</v>
      </c>
      <c r="G71" s="34" t="str">
        <f t="shared" si="15"/>
        <v>rokprognozy=2015 i lp=610</v>
      </c>
      <c r="H71" s="34" t="str">
        <f t="shared" si="15"/>
        <v>rokprognozy=2016 i lp=610</v>
      </c>
      <c r="I71" s="34" t="str">
        <f t="shared" si="15"/>
        <v>rokprognozy=2017 i lp=610</v>
      </c>
      <c r="J71" s="34" t="str">
        <f t="shared" si="15"/>
        <v>rokprognozy=2018 i lp=610</v>
      </c>
      <c r="K71" s="34" t="str">
        <f t="shared" si="15"/>
        <v>rokprognozy=2019 i lp=610</v>
      </c>
      <c r="L71" s="34" t="str">
        <f t="shared" si="15"/>
        <v>rokprognozy=2020 i lp=610</v>
      </c>
      <c r="M71" s="34" t="str">
        <f t="shared" si="15"/>
        <v>rokprognozy=2021 i lp=610</v>
      </c>
      <c r="N71" s="34" t="str">
        <f t="shared" si="13"/>
        <v>rokprognozy=2022 i lp=610</v>
      </c>
      <c r="O71" s="34" t="str">
        <f t="shared" si="13"/>
        <v>rokprognozy=2023 i lp=610</v>
      </c>
      <c r="P71" s="34" t="str">
        <f t="shared" si="13"/>
        <v>rokprognozy=2024 i lp=610</v>
      </c>
      <c r="Q71" s="34" t="str">
        <f t="shared" si="13"/>
        <v>rokprognozy=2025 i lp=610</v>
      </c>
      <c r="R71" s="34" t="str">
        <f t="shared" si="13"/>
        <v>rokprognozy=2026 i lp=610</v>
      </c>
      <c r="S71" s="34" t="str">
        <f t="shared" si="13"/>
        <v>rokprognozy=2027 i lp=610</v>
      </c>
      <c r="T71" s="34" t="str">
        <f t="shared" si="13"/>
        <v>rokprognozy=2028 i lp=610</v>
      </c>
      <c r="U71" s="34" t="str">
        <f t="shared" si="13"/>
        <v>rokprognozy=2029 i lp=610</v>
      </c>
      <c r="V71" s="34" t="str">
        <f t="shared" si="13"/>
        <v>rokprognozy=2030 i lp=610</v>
      </c>
      <c r="W71" s="34" t="str">
        <f t="shared" si="13"/>
        <v>rokprognozy=2031 i lp=610</v>
      </c>
      <c r="X71" s="34" t="str">
        <f t="shared" si="13"/>
        <v>rokprognozy=2032 i lp=610</v>
      </c>
      <c r="Y71" s="34" t="str">
        <f t="shared" si="13"/>
        <v>rokprognozy=2033 i lp=610</v>
      </c>
      <c r="Z71" s="34" t="str">
        <f t="shared" si="13"/>
        <v>rokprognozy=2034 i lp=610</v>
      </c>
      <c r="AA71" s="34" t="str">
        <f t="shared" si="13"/>
        <v>rokprognozy=2035 i lp=610</v>
      </c>
      <c r="AB71" s="34" t="str">
        <f t="shared" si="13"/>
        <v>rokprognozy=2036 i lp=610</v>
      </c>
      <c r="AC71" s="34" t="str">
        <f t="shared" si="13"/>
        <v>rokprognozy=2037 i lp=610</v>
      </c>
      <c r="AD71" s="34" t="str">
        <f t="shared" si="14"/>
        <v>rokprognozy=2038 i lp=610</v>
      </c>
      <c r="AE71" s="34" t="str">
        <f t="shared" si="14"/>
        <v>rokprognozy=2039 i lp=610</v>
      </c>
      <c r="AF71" s="34" t="str">
        <f t="shared" si="14"/>
        <v>rokprognozy=2040 i lp=610</v>
      </c>
      <c r="AG71" s="34" t="str">
        <f t="shared" si="14"/>
        <v>rokprognozy=2041 i lp=610</v>
      </c>
      <c r="AH71" s="34" t="str">
        <f t="shared" si="14"/>
        <v>rokprognozy=2042 i lp=610</v>
      </c>
    </row>
    <row r="72" spans="1:34">
      <c r="A72" s="33">
        <v>620</v>
      </c>
      <c r="B72" s="33" t="s">
        <v>114</v>
      </c>
      <c r="C72" s="34" t="s">
        <v>115</v>
      </c>
      <c r="D72" s="34" t="str">
        <f t="shared" si="3"/>
        <v>rokprognozy=2013 i lp=620</v>
      </c>
      <c r="E72" s="34" t="str">
        <f t="shared" si="15"/>
        <v>rokprognozy=2013 i lp=620</v>
      </c>
      <c r="F72" s="34" t="str">
        <f t="shared" si="15"/>
        <v>rokprognozy=2014 i lp=620</v>
      </c>
      <c r="G72" s="34" t="str">
        <f t="shared" si="15"/>
        <v>rokprognozy=2015 i lp=620</v>
      </c>
      <c r="H72" s="34" t="str">
        <f t="shared" si="15"/>
        <v>rokprognozy=2016 i lp=620</v>
      </c>
      <c r="I72" s="34" t="str">
        <f t="shared" si="15"/>
        <v>rokprognozy=2017 i lp=620</v>
      </c>
      <c r="J72" s="34" t="str">
        <f t="shared" si="15"/>
        <v>rokprognozy=2018 i lp=620</v>
      </c>
      <c r="K72" s="34" t="str">
        <f t="shared" si="15"/>
        <v>rokprognozy=2019 i lp=620</v>
      </c>
      <c r="L72" s="34" t="str">
        <f t="shared" si="15"/>
        <v>rokprognozy=2020 i lp=620</v>
      </c>
      <c r="M72" s="34" t="str">
        <f t="shared" si="15"/>
        <v>rokprognozy=2021 i lp=620</v>
      </c>
      <c r="N72" s="34" t="str">
        <f t="shared" si="15"/>
        <v>rokprognozy=2022 i lp=620</v>
      </c>
      <c r="O72" s="34" t="str">
        <f t="shared" si="15"/>
        <v>rokprognozy=2023 i lp=620</v>
      </c>
      <c r="P72" s="34" t="str">
        <f t="shared" si="15"/>
        <v>rokprognozy=2024 i lp=620</v>
      </c>
      <c r="Q72" s="34" t="str">
        <f t="shared" si="15"/>
        <v>rokprognozy=2025 i lp=620</v>
      </c>
      <c r="R72" s="34" t="str">
        <f t="shared" si="15"/>
        <v>rokprognozy=2026 i lp=620</v>
      </c>
      <c r="S72" s="34" t="str">
        <f t="shared" si="15"/>
        <v>rokprognozy=2027 i lp=620</v>
      </c>
      <c r="T72" s="34" t="str">
        <f t="shared" si="15"/>
        <v>rokprognozy=2028 i lp=620</v>
      </c>
      <c r="U72" s="34" t="str">
        <f t="shared" ref="N72:AC87" si="16">+"rokprognozy="&amp;U$9&amp;" i lp="&amp;$A72</f>
        <v>rokprognozy=2029 i lp=620</v>
      </c>
      <c r="V72" s="34" t="str">
        <f t="shared" si="16"/>
        <v>rokprognozy=2030 i lp=620</v>
      </c>
      <c r="W72" s="34" t="str">
        <f t="shared" si="16"/>
        <v>rokprognozy=2031 i lp=620</v>
      </c>
      <c r="X72" s="34" t="str">
        <f t="shared" si="16"/>
        <v>rokprognozy=2032 i lp=620</v>
      </c>
      <c r="Y72" s="34" t="str">
        <f t="shared" si="16"/>
        <v>rokprognozy=2033 i lp=620</v>
      </c>
      <c r="Z72" s="34" t="str">
        <f t="shared" si="16"/>
        <v>rokprognozy=2034 i lp=620</v>
      </c>
      <c r="AA72" s="34" t="str">
        <f t="shared" si="16"/>
        <v>rokprognozy=2035 i lp=620</v>
      </c>
      <c r="AB72" s="34" t="str">
        <f t="shared" si="16"/>
        <v>rokprognozy=2036 i lp=620</v>
      </c>
      <c r="AC72" s="34" t="str">
        <f t="shared" si="16"/>
        <v>rokprognozy=2037 i lp=620</v>
      </c>
      <c r="AD72" s="34" t="str">
        <f t="shared" si="14"/>
        <v>rokprognozy=2038 i lp=620</v>
      </c>
      <c r="AE72" s="34" t="str">
        <f t="shared" si="14"/>
        <v>rokprognozy=2039 i lp=620</v>
      </c>
      <c r="AF72" s="34" t="str">
        <f t="shared" si="14"/>
        <v>rokprognozy=2040 i lp=620</v>
      </c>
      <c r="AG72" s="34" t="str">
        <f t="shared" si="14"/>
        <v>rokprognozy=2041 i lp=620</v>
      </c>
      <c r="AH72" s="34" t="str">
        <f t="shared" si="14"/>
        <v>rokprognozy=2042 i lp=620</v>
      </c>
    </row>
    <row r="73" spans="1:34">
      <c r="A73" s="33">
        <v>630</v>
      </c>
      <c r="B73" s="33">
        <v>11.4</v>
      </c>
      <c r="C73" s="34" t="s">
        <v>116</v>
      </c>
      <c r="D73" s="34" t="str">
        <f t="shared" si="3"/>
        <v>rokprognozy=2013 i lp=630</v>
      </c>
      <c r="E73" s="34" t="str">
        <f t="shared" si="15"/>
        <v>rokprognozy=2013 i lp=630</v>
      </c>
      <c r="F73" s="34" t="str">
        <f t="shared" si="15"/>
        <v>rokprognozy=2014 i lp=630</v>
      </c>
      <c r="G73" s="34" t="str">
        <f t="shared" si="15"/>
        <v>rokprognozy=2015 i lp=630</v>
      </c>
      <c r="H73" s="34" t="str">
        <f t="shared" si="15"/>
        <v>rokprognozy=2016 i lp=630</v>
      </c>
      <c r="I73" s="34" t="str">
        <f t="shared" si="15"/>
        <v>rokprognozy=2017 i lp=630</v>
      </c>
      <c r="J73" s="34" t="str">
        <f t="shared" si="15"/>
        <v>rokprognozy=2018 i lp=630</v>
      </c>
      <c r="K73" s="34" t="str">
        <f t="shared" si="15"/>
        <v>rokprognozy=2019 i lp=630</v>
      </c>
      <c r="L73" s="34" t="str">
        <f t="shared" si="15"/>
        <v>rokprognozy=2020 i lp=630</v>
      </c>
      <c r="M73" s="34" t="str">
        <f t="shared" si="15"/>
        <v>rokprognozy=2021 i lp=630</v>
      </c>
      <c r="N73" s="34" t="str">
        <f t="shared" si="16"/>
        <v>rokprognozy=2022 i lp=630</v>
      </c>
      <c r="O73" s="34" t="str">
        <f t="shared" si="16"/>
        <v>rokprognozy=2023 i lp=630</v>
      </c>
      <c r="P73" s="34" t="str">
        <f t="shared" si="16"/>
        <v>rokprognozy=2024 i lp=630</v>
      </c>
      <c r="Q73" s="34" t="str">
        <f t="shared" si="16"/>
        <v>rokprognozy=2025 i lp=630</v>
      </c>
      <c r="R73" s="34" t="str">
        <f t="shared" si="16"/>
        <v>rokprognozy=2026 i lp=630</v>
      </c>
      <c r="S73" s="34" t="str">
        <f t="shared" si="16"/>
        <v>rokprognozy=2027 i lp=630</v>
      </c>
      <c r="T73" s="34" t="str">
        <f t="shared" si="16"/>
        <v>rokprognozy=2028 i lp=630</v>
      </c>
      <c r="U73" s="34" t="str">
        <f t="shared" si="16"/>
        <v>rokprognozy=2029 i lp=630</v>
      </c>
      <c r="V73" s="34" t="str">
        <f t="shared" si="16"/>
        <v>rokprognozy=2030 i lp=630</v>
      </c>
      <c r="W73" s="34" t="str">
        <f t="shared" si="16"/>
        <v>rokprognozy=2031 i lp=630</v>
      </c>
      <c r="X73" s="34" t="str">
        <f t="shared" si="16"/>
        <v>rokprognozy=2032 i lp=630</v>
      </c>
      <c r="Y73" s="34" t="str">
        <f t="shared" si="16"/>
        <v>rokprognozy=2033 i lp=630</v>
      </c>
      <c r="Z73" s="34" t="str">
        <f t="shared" si="16"/>
        <v>rokprognozy=2034 i lp=630</v>
      </c>
      <c r="AA73" s="34" t="str">
        <f t="shared" si="16"/>
        <v>rokprognozy=2035 i lp=630</v>
      </c>
      <c r="AB73" s="34" t="str">
        <f t="shared" si="16"/>
        <v>rokprognozy=2036 i lp=630</v>
      </c>
      <c r="AC73" s="34" t="str">
        <f t="shared" si="16"/>
        <v>rokprognozy=2037 i lp=630</v>
      </c>
      <c r="AD73" s="34" t="str">
        <f t="shared" si="14"/>
        <v>rokprognozy=2038 i lp=630</v>
      </c>
      <c r="AE73" s="34" t="str">
        <f t="shared" si="14"/>
        <v>rokprognozy=2039 i lp=630</v>
      </c>
      <c r="AF73" s="34" t="str">
        <f t="shared" si="14"/>
        <v>rokprognozy=2040 i lp=630</v>
      </c>
      <c r="AG73" s="34" t="str">
        <f t="shared" si="14"/>
        <v>rokprognozy=2041 i lp=630</v>
      </c>
      <c r="AH73" s="34" t="str">
        <f t="shared" si="14"/>
        <v>rokprognozy=2042 i lp=630</v>
      </c>
    </row>
    <row r="74" spans="1:34">
      <c r="A74" s="33">
        <v>640</v>
      </c>
      <c r="B74" s="33">
        <v>11.5</v>
      </c>
      <c r="C74" s="34" t="s">
        <v>117</v>
      </c>
      <c r="D74" s="34" t="str">
        <f t="shared" si="3"/>
        <v>rokprognozy=2013 i lp=640</v>
      </c>
      <c r="E74" s="34" t="str">
        <f t="shared" si="15"/>
        <v>rokprognozy=2013 i lp=640</v>
      </c>
      <c r="F74" s="34" t="str">
        <f t="shared" si="15"/>
        <v>rokprognozy=2014 i lp=640</v>
      </c>
      <c r="G74" s="34" t="str">
        <f t="shared" si="15"/>
        <v>rokprognozy=2015 i lp=640</v>
      </c>
      <c r="H74" s="34" t="str">
        <f t="shared" si="15"/>
        <v>rokprognozy=2016 i lp=640</v>
      </c>
      <c r="I74" s="34" t="str">
        <f t="shared" si="15"/>
        <v>rokprognozy=2017 i lp=640</v>
      </c>
      <c r="J74" s="34" t="str">
        <f t="shared" si="15"/>
        <v>rokprognozy=2018 i lp=640</v>
      </c>
      <c r="K74" s="34" t="str">
        <f t="shared" si="15"/>
        <v>rokprognozy=2019 i lp=640</v>
      </c>
      <c r="L74" s="34" t="str">
        <f t="shared" si="15"/>
        <v>rokprognozy=2020 i lp=640</v>
      </c>
      <c r="M74" s="34" t="str">
        <f t="shared" si="15"/>
        <v>rokprognozy=2021 i lp=640</v>
      </c>
      <c r="N74" s="34" t="str">
        <f t="shared" si="16"/>
        <v>rokprognozy=2022 i lp=640</v>
      </c>
      <c r="O74" s="34" t="str">
        <f t="shared" si="16"/>
        <v>rokprognozy=2023 i lp=640</v>
      </c>
      <c r="P74" s="34" t="str">
        <f t="shared" si="16"/>
        <v>rokprognozy=2024 i lp=640</v>
      </c>
      <c r="Q74" s="34" t="str">
        <f t="shared" si="16"/>
        <v>rokprognozy=2025 i lp=640</v>
      </c>
      <c r="R74" s="34" t="str">
        <f t="shared" si="16"/>
        <v>rokprognozy=2026 i lp=640</v>
      </c>
      <c r="S74" s="34" t="str">
        <f t="shared" si="16"/>
        <v>rokprognozy=2027 i lp=640</v>
      </c>
      <c r="T74" s="34" t="str">
        <f t="shared" si="16"/>
        <v>rokprognozy=2028 i lp=640</v>
      </c>
      <c r="U74" s="34" t="str">
        <f t="shared" si="16"/>
        <v>rokprognozy=2029 i lp=640</v>
      </c>
      <c r="V74" s="34" t="str">
        <f t="shared" si="16"/>
        <v>rokprognozy=2030 i lp=640</v>
      </c>
      <c r="W74" s="34" t="str">
        <f t="shared" si="16"/>
        <v>rokprognozy=2031 i lp=640</v>
      </c>
      <c r="X74" s="34" t="str">
        <f t="shared" si="16"/>
        <v>rokprognozy=2032 i lp=640</v>
      </c>
      <c r="Y74" s="34" t="str">
        <f t="shared" si="16"/>
        <v>rokprognozy=2033 i lp=640</v>
      </c>
      <c r="Z74" s="34" t="str">
        <f t="shared" si="16"/>
        <v>rokprognozy=2034 i lp=640</v>
      </c>
      <c r="AA74" s="34" t="str">
        <f t="shared" si="16"/>
        <v>rokprognozy=2035 i lp=640</v>
      </c>
      <c r="AB74" s="34" t="str">
        <f t="shared" si="16"/>
        <v>rokprognozy=2036 i lp=640</v>
      </c>
      <c r="AC74" s="34" t="str">
        <f t="shared" si="16"/>
        <v>rokprognozy=2037 i lp=640</v>
      </c>
      <c r="AD74" s="34" t="str">
        <f t="shared" si="14"/>
        <v>rokprognozy=2038 i lp=640</v>
      </c>
      <c r="AE74" s="34" t="str">
        <f t="shared" si="14"/>
        <v>rokprognozy=2039 i lp=640</v>
      </c>
      <c r="AF74" s="34" t="str">
        <f t="shared" si="14"/>
        <v>rokprognozy=2040 i lp=640</v>
      </c>
      <c r="AG74" s="34" t="str">
        <f t="shared" si="14"/>
        <v>rokprognozy=2041 i lp=640</v>
      </c>
      <c r="AH74" s="34" t="str">
        <f t="shared" si="14"/>
        <v>rokprognozy=2042 i lp=640</v>
      </c>
    </row>
    <row r="75" spans="1:34">
      <c r="A75" s="33">
        <v>650</v>
      </c>
      <c r="B75" s="33">
        <v>11.6</v>
      </c>
      <c r="C75" s="34" t="s">
        <v>118</v>
      </c>
      <c r="D75" s="34" t="str">
        <f t="shared" si="3"/>
        <v>rokprognozy=2013 i lp=650</v>
      </c>
      <c r="E75" s="34" t="str">
        <f t="shared" si="15"/>
        <v>rokprognozy=2013 i lp=650</v>
      </c>
      <c r="F75" s="34" t="str">
        <f t="shared" si="15"/>
        <v>rokprognozy=2014 i lp=650</v>
      </c>
      <c r="G75" s="34" t="str">
        <f t="shared" si="15"/>
        <v>rokprognozy=2015 i lp=650</v>
      </c>
      <c r="H75" s="34" t="str">
        <f t="shared" si="15"/>
        <v>rokprognozy=2016 i lp=650</v>
      </c>
      <c r="I75" s="34" t="str">
        <f t="shared" si="15"/>
        <v>rokprognozy=2017 i lp=650</v>
      </c>
      <c r="J75" s="34" t="str">
        <f t="shared" si="15"/>
        <v>rokprognozy=2018 i lp=650</v>
      </c>
      <c r="K75" s="34" t="str">
        <f t="shared" si="15"/>
        <v>rokprognozy=2019 i lp=650</v>
      </c>
      <c r="L75" s="34" t="str">
        <f t="shared" si="15"/>
        <v>rokprognozy=2020 i lp=650</v>
      </c>
      <c r="M75" s="34" t="str">
        <f t="shared" si="15"/>
        <v>rokprognozy=2021 i lp=650</v>
      </c>
      <c r="N75" s="34" t="str">
        <f t="shared" si="16"/>
        <v>rokprognozy=2022 i lp=650</v>
      </c>
      <c r="O75" s="34" t="str">
        <f t="shared" si="16"/>
        <v>rokprognozy=2023 i lp=650</v>
      </c>
      <c r="P75" s="34" t="str">
        <f t="shared" si="16"/>
        <v>rokprognozy=2024 i lp=650</v>
      </c>
      <c r="Q75" s="34" t="str">
        <f t="shared" si="16"/>
        <v>rokprognozy=2025 i lp=650</v>
      </c>
      <c r="R75" s="34" t="str">
        <f t="shared" si="16"/>
        <v>rokprognozy=2026 i lp=650</v>
      </c>
      <c r="S75" s="34" t="str">
        <f t="shared" si="16"/>
        <v>rokprognozy=2027 i lp=650</v>
      </c>
      <c r="T75" s="34" t="str">
        <f t="shared" si="16"/>
        <v>rokprognozy=2028 i lp=650</v>
      </c>
      <c r="U75" s="34" t="str">
        <f t="shared" si="16"/>
        <v>rokprognozy=2029 i lp=650</v>
      </c>
      <c r="V75" s="34" t="str">
        <f t="shared" si="16"/>
        <v>rokprognozy=2030 i lp=650</v>
      </c>
      <c r="W75" s="34" t="str">
        <f t="shared" si="16"/>
        <v>rokprognozy=2031 i lp=650</v>
      </c>
      <c r="X75" s="34" t="str">
        <f t="shared" si="16"/>
        <v>rokprognozy=2032 i lp=650</v>
      </c>
      <c r="Y75" s="34" t="str">
        <f t="shared" si="16"/>
        <v>rokprognozy=2033 i lp=650</v>
      </c>
      <c r="Z75" s="34" t="str">
        <f t="shared" si="16"/>
        <v>rokprognozy=2034 i lp=650</v>
      </c>
      <c r="AA75" s="34" t="str">
        <f t="shared" si="16"/>
        <v>rokprognozy=2035 i lp=650</v>
      </c>
      <c r="AB75" s="34" t="str">
        <f t="shared" si="16"/>
        <v>rokprognozy=2036 i lp=650</v>
      </c>
      <c r="AC75" s="34" t="str">
        <f t="shared" si="16"/>
        <v>rokprognozy=2037 i lp=650</v>
      </c>
      <c r="AD75" s="34" t="str">
        <f t="shared" si="14"/>
        <v>rokprognozy=2038 i lp=650</v>
      </c>
      <c r="AE75" s="34" t="str">
        <f t="shared" si="14"/>
        <v>rokprognozy=2039 i lp=650</v>
      </c>
      <c r="AF75" s="34" t="str">
        <f t="shared" si="14"/>
        <v>rokprognozy=2040 i lp=650</v>
      </c>
      <c r="AG75" s="34" t="str">
        <f t="shared" si="14"/>
        <v>rokprognozy=2041 i lp=650</v>
      </c>
      <c r="AH75" s="34" t="str">
        <f t="shared" si="14"/>
        <v>rokprognozy=2042 i lp=650</v>
      </c>
    </row>
    <row r="76" spans="1:34">
      <c r="A76" s="33">
        <v>660</v>
      </c>
      <c r="B76" s="33">
        <v>12</v>
      </c>
      <c r="C76" s="34" t="s">
        <v>119</v>
      </c>
      <c r="D76" s="34" t="str">
        <f t="shared" ref="D76:D104" si="17">+"rokprognozy="&amp;D$9&amp;" i lp="&amp;$A76</f>
        <v>rokprognozy=2013 i lp=660</v>
      </c>
      <c r="E76" s="34" t="str">
        <f t="shared" si="15"/>
        <v>rokprognozy=2013 i lp=660</v>
      </c>
      <c r="F76" s="34" t="str">
        <f t="shared" si="15"/>
        <v>rokprognozy=2014 i lp=660</v>
      </c>
      <c r="G76" s="34" t="str">
        <f t="shared" si="15"/>
        <v>rokprognozy=2015 i lp=660</v>
      </c>
      <c r="H76" s="34" t="str">
        <f t="shared" si="15"/>
        <v>rokprognozy=2016 i lp=660</v>
      </c>
      <c r="I76" s="34" t="str">
        <f t="shared" si="15"/>
        <v>rokprognozy=2017 i lp=660</v>
      </c>
      <c r="J76" s="34" t="str">
        <f t="shared" si="15"/>
        <v>rokprognozy=2018 i lp=660</v>
      </c>
      <c r="K76" s="34" t="str">
        <f t="shared" si="15"/>
        <v>rokprognozy=2019 i lp=660</v>
      </c>
      <c r="L76" s="34" t="str">
        <f t="shared" si="15"/>
        <v>rokprognozy=2020 i lp=660</v>
      </c>
      <c r="M76" s="34" t="str">
        <f t="shared" si="15"/>
        <v>rokprognozy=2021 i lp=660</v>
      </c>
      <c r="N76" s="34" t="str">
        <f t="shared" si="16"/>
        <v>rokprognozy=2022 i lp=660</v>
      </c>
      <c r="O76" s="34" t="str">
        <f t="shared" si="16"/>
        <v>rokprognozy=2023 i lp=660</v>
      </c>
      <c r="P76" s="34" t="str">
        <f t="shared" si="16"/>
        <v>rokprognozy=2024 i lp=660</v>
      </c>
      <c r="Q76" s="34" t="str">
        <f t="shared" si="16"/>
        <v>rokprognozy=2025 i lp=660</v>
      </c>
      <c r="R76" s="34" t="str">
        <f t="shared" si="16"/>
        <v>rokprognozy=2026 i lp=660</v>
      </c>
      <c r="S76" s="34" t="str">
        <f t="shared" si="16"/>
        <v>rokprognozy=2027 i lp=660</v>
      </c>
      <c r="T76" s="34" t="str">
        <f t="shared" si="16"/>
        <v>rokprognozy=2028 i lp=660</v>
      </c>
      <c r="U76" s="34" t="str">
        <f t="shared" si="16"/>
        <v>rokprognozy=2029 i lp=660</v>
      </c>
      <c r="V76" s="34" t="str">
        <f t="shared" si="16"/>
        <v>rokprognozy=2030 i lp=660</v>
      </c>
      <c r="W76" s="34" t="str">
        <f t="shared" si="16"/>
        <v>rokprognozy=2031 i lp=660</v>
      </c>
      <c r="X76" s="34" t="str">
        <f t="shared" si="16"/>
        <v>rokprognozy=2032 i lp=660</v>
      </c>
      <c r="Y76" s="34" t="str">
        <f t="shared" si="16"/>
        <v>rokprognozy=2033 i lp=660</v>
      </c>
      <c r="Z76" s="34" t="str">
        <f t="shared" si="16"/>
        <v>rokprognozy=2034 i lp=660</v>
      </c>
      <c r="AA76" s="34" t="str">
        <f t="shared" si="16"/>
        <v>rokprognozy=2035 i lp=660</v>
      </c>
      <c r="AB76" s="34" t="str">
        <f t="shared" si="16"/>
        <v>rokprognozy=2036 i lp=660</v>
      </c>
      <c r="AC76" s="34" t="str">
        <f t="shared" si="16"/>
        <v>rokprognozy=2037 i lp=660</v>
      </c>
      <c r="AD76" s="34" t="str">
        <f t="shared" ref="AD76:AH91" si="18">+"rokprognozy="&amp;AD$9&amp;" i lp="&amp;$A76</f>
        <v>rokprognozy=2038 i lp=660</v>
      </c>
      <c r="AE76" s="34" t="str">
        <f t="shared" si="18"/>
        <v>rokprognozy=2039 i lp=660</v>
      </c>
      <c r="AF76" s="34" t="str">
        <f t="shared" si="18"/>
        <v>rokprognozy=2040 i lp=660</v>
      </c>
      <c r="AG76" s="34" t="str">
        <f t="shared" si="18"/>
        <v>rokprognozy=2041 i lp=660</v>
      </c>
      <c r="AH76" s="34" t="str">
        <f t="shared" si="18"/>
        <v>rokprognozy=2042 i lp=660</v>
      </c>
    </row>
    <row r="77" spans="1:34">
      <c r="A77" s="33">
        <v>670</v>
      </c>
      <c r="B77" s="33">
        <v>12.1</v>
      </c>
      <c r="C77" s="34" t="s">
        <v>120</v>
      </c>
      <c r="D77" s="34" t="str">
        <f t="shared" si="17"/>
        <v>rokprognozy=2013 i lp=670</v>
      </c>
      <c r="E77" s="34" t="str">
        <f t="shared" si="15"/>
        <v>rokprognozy=2013 i lp=670</v>
      </c>
      <c r="F77" s="34" t="str">
        <f t="shared" si="15"/>
        <v>rokprognozy=2014 i lp=670</v>
      </c>
      <c r="G77" s="34" t="str">
        <f t="shared" si="15"/>
        <v>rokprognozy=2015 i lp=670</v>
      </c>
      <c r="H77" s="34" t="str">
        <f t="shared" si="15"/>
        <v>rokprognozy=2016 i lp=670</v>
      </c>
      <c r="I77" s="34" t="str">
        <f t="shared" si="15"/>
        <v>rokprognozy=2017 i lp=670</v>
      </c>
      <c r="J77" s="34" t="str">
        <f t="shared" si="15"/>
        <v>rokprognozy=2018 i lp=670</v>
      </c>
      <c r="K77" s="34" t="str">
        <f t="shared" si="15"/>
        <v>rokprognozy=2019 i lp=670</v>
      </c>
      <c r="L77" s="34" t="str">
        <f t="shared" si="15"/>
        <v>rokprognozy=2020 i lp=670</v>
      </c>
      <c r="M77" s="34" t="str">
        <f t="shared" si="15"/>
        <v>rokprognozy=2021 i lp=670</v>
      </c>
      <c r="N77" s="34" t="str">
        <f t="shared" si="16"/>
        <v>rokprognozy=2022 i lp=670</v>
      </c>
      <c r="O77" s="34" t="str">
        <f t="shared" si="16"/>
        <v>rokprognozy=2023 i lp=670</v>
      </c>
      <c r="P77" s="34" t="str">
        <f t="shared" si="16"/>
        <v>rokprognozy=2024 i lp=670</v>
      </c>
      <c r="Q77" s="34" t="str">
        <f t="shared" si="16"/>
        <v>rokprognozy=2025 i lp=670</v>
      </c>
      <c r="R77" s="34" t="str">
        <f t="shared" si="16"/>
        <v>rokprognozy=2026 i lp=670</v>
      </c>
      <c r="S77" s="34" t="str">
        <f t="shared" si="16"/>
        <v>rokprognozy=2027 i lp=670</v>
      </c>
      <c r="T77" s="34" t="str">
        <f t="shared" si="16"/>
        <v>rokprognozy=2028 i lp=670</v>
      </c>
      <c r="U77" s="34" t="str">
        <f t="shared" si="16"/>
        <v>rokprognozy=2029 i lp=670</v>
      </c>
      <c r="V77" s="34" t="str">
        <f t="shared" si="16"/>
        <v>rokprognozy=2030 i lp=670</v>
      </c>
      <c r="W77" s="34" t="str">
        <f t="shared" si="16"/>
        <v>rokprognozy=2031 i lp=670</v>
      </c>
      <c r="X77" s="34" t="str">
        <f t="shared" si="16"/>
        <v>rokprognozy=2032 i lp=670</v>
      </c>
      <c r="Y77" s="34" t="str">
        <f t="shared" si="16"/>
        <v>rokprognozy=2033 i lp=670</v>
      </c>
      <c r="Z77" s="34" t="str">
        <f t="shared" si="16"/>
        <v>rokprognozy=2034 i lp=670</v>
      </c>
      <c r="AA77" s="34" t="str">
        <f t="shared" si="16"/>
        <v>rokprognozy=2035 i lp=670</v>
      </c>
      <c r="AB77" s="34" t="str">
        <f t="shared" si="16"/>
        <v>rokprognozy=2036 i lp=670</v>
      </c>
      <c r="AC77" s="34" t="str">
        <f t="shared" si="16"/>
        <v>rokprognozy=2037 i lp=670</v>
      </c>
      <c r="AD77" s="34" t="str">
        <f t="shared" si="18"/>
        <v>rokprognozy=2038 i lp=670</v>
      </c>
      <c r="AE77" s="34" t="str">
        <f t="shared" si="18"/>
        <v>rokprognozy=2039 i lp=670</v>
      </c>
      <c r="AF77" s="34" t="str">
        <f t="shared" si="18"/>
        <v>rokprognozy=2040 i lp=670</v>
      </c>
      <c r="AG77" s="34" t="str">
        <f t="shared" si="18"/>
        <v>rokprognozy=2041 i lp=670</v>
      </c>
      <c r="AH77" s="34" t="str">
        <f t="shared" si="18"/>
        <v>rokprognozy=2042 i lp=670</v>
      </c>
    </row>
    <row r="78" spans="1:34">
      <c r="A78" s="33">
        <v>680</v>
      </c>
      <c r="B78" s="33" t="s">
        <v>121</v>
      </c>
      <c r="C78" s="34" t="s">
        <v>122</v>
      </c>
      <c r="D78" s="34" t="str">
        <f t="shared" si="17"/>
        <v>rokprognozy=2013 i lp=680</v>
      </c>
      <c r="E78" s="34" t="str">
        <f t="shared" si="15"/>
        <v>rokprognozy=2013 i lp=680</v>
      </c>
      <c r="F78" s="34" t="str">
        <f t="shared" si="15"/>
        <v>rokprognozy=2014 i lp=680</v>
      </c>
      <c r="G78" s="34" t="str">
        <f t="shared" si="15"/>
        <v>rokprognozy=2015 i lp=680</v>
      </c>
      <c r="H78" s="34" t="str">
        <f t="shared" si="15"/>
        <v>rokprognozy=2016 i lp=680</v>
      </c>
      <c r="I78" s="34" t="str">
        <f t="shared" si="15"/>
        <v>rokprognozy=2017 i lp=680</v>
      </c>
      <c r="J78" s="34" t="str">
        <f t="shared" si="15"/>
        <v>rokprognozy=2018 i lp=680</v>
      </c>
      <c r="K78" s="34" t="str">
        <f t="shared" si="15"/>
        <v>rokprognozy=2019 i lp=680</v>
      </c>
      <c r="L78" s="34" t="str">
        <f t="shared" si="15"/>
        <v>rokprognozy=2020 i lp=680</v>
      </c>
      <c r="M78" s="34" t="str">
        <f t="shared" si="15"/>
        <v>rokprognozy=2021 i lp=680</v>
      </c>
      <c r="N78" s="34" t="str">
        <f t="shared" si="16"/>
        <v>rokprognozy=2022 i lp=680</v>
      </c>
      <c r="O78" s="34" t="str">
        <f t="shared" si="16"/>
        <v>rokprognozy=2023 i lp=680</v>
      </c>
      <c r="P78" s="34" t="str">
        <f t="shared" si="16"/>
        <v>rokprognozy=2024 i lp=680</v>
      </c>
      <c r="Q78" s="34" t="str">
        <f t="shared" si="16"/>
        <v>rokprognozy=2025 i lp=680</v>
      </c>
      <c r="R78" s="34" t="str">
        <f t="shared" si="16"/>
        <v>rokprognozy=2026 i lp=680</v>
      </c>
      <c r="S78" s="34" t="str">
        <f t="shared" si="16"/>
        <v>rokprognozy=2027 i lp=680</v>
      </c>
      <c r="T78" s="34" t="str">
        <f t="shared" si="16"/>
        <v>rokprognozy=2028 i lp=680</v>
      </c>
      <c r="U78" s="34" t="str">
        <f t="shared" si="16"/>
        <v>rokprognozy=2029 i lp=680</v>
      </c>
      <c r="V78" s="34" t="str">
        <f t="shared" si="16"/>
        <v>rokprognozy=2030 i lp=680</v>
      </c>
      <c r="W78" s="34" t="str">
        <f t="shared" si="16"/>
        <v>rokprognozy=2031 i lp=680</v>
      </c>
      <c r="X78" s="34" t="str">
        <f t="shared" si="16"/>
        <v>rokprognozy=2032 i lp=680</v>
      </c>
      <c r="Y78" s="34" t="str">
        <f t="shared" si="16"/>
        <v>rokprognozy=2033 i lp=680</v>
      </c>
      <c r="Z78" s="34" t="str">
        <f t="shared" si="16"/>
        <v>rokprognozy=2034 i lp=680</v>
      </c>
      <c r="AA78" s="34" t="str">
        <f t="shared" si="16"/>
        <v>rokprognozy=2035 i lp=680</v>
      </c>
      <c r="AB78" s="34" t="str">
        <f t="shared" si="16"/>
        <v>rokprognozy=2036 i lp=680</v>
      </c>
      <c r="AC78" s="34" t="str">
        <f t="shared" si="16"/>
        <v>rokprognozy=2037 i lp=680</v>
      </c>
      <c r="AD78" s="34" t="str">
        <f t="shared" si="18"/>
        <v>rokprognozy=2038 i lp=680</v>
      </c>
      <c r="AE78" s="34" t="str">
        <f t="shared" si="18"/>
        <v>rokprognozy=2039 i lp=680</v>
      </c>
      <c r="AF78" s="34" t="str">
        <f t="shared" si="18"/>
        <v>rokprognozy=2040 i lp=680</v>
      </c>
      <c r="AG78" s="34" t="str">
        <f t="shared" si="18"/>
        <v>rokprognozy=2041 i lp=680</v>
      </c>
      <c r="AH78" s="34" t="str">
        <f t="shared" si="18"/>
        <v>rokprognozy=2042 i lp=680</v>
      </c>
    </row>
    <row r="79" spans="1:34">
      <c r="A79" s="33">
        <v>690</v>
      </c>
      <c r="B79" s="33" t="s">
        <v>123</v>
      </c>
      <c r="C79" s="34" t="s">
        <v>124</v>
      </c>
      <c r="D79" s="34" t="str">
        <f t="shared" si="17"/>
        <v>rokprognozy=2013 i lp=690</v>
      </c>
      <c r="E79" s="34" t="str">
        <f t="shared" si="15"/>
        <v>rokprognozy=2013 i lp=690</v>
      </c>
      <c r="F79" s="34" t="str">
        <f t="shared" si="15"/>
        <v>rokprognozy=2014 i lp=690</v>
      </c>
      <c r="G79" s="34" t="str">
        <f t="shared" si="15"/>
        <v>rokprognozy=2015 i lp=690</v>
      </c>
      <c r="H79" s="34" t="str">
        <f t="shared" si="15"/>
        <v>rokprognozy=2016 i lp=690</v>
      </c>
      <c r="I79" s="34" t="str">
        <f t="shared" si="15"/>
        <v>rokprognozy=2017 i lp=690</v>
      </c>
      <c r="J79" s="34" t="str">
        <f t="shared" si="15"/>
        <v>rokprognozy=2018 i lp=690</v>
      </c>
      <c r="K79" s="34" t="str">
        <f t="shared" si="15"/>
        <v>rokprognozy=2019 i lp=690</v>
      </c>
      <c r="L79" s="34" t="str">
        <f t="shared" si="15"/>
        <v>rokprognozy=2020 i lp=690</v>
      </c>
      <c r="M79" s="34" t="str">
        <f t="shared" si="15"/>
        <v>rokprognozy=2021 i lp=690</v>
      </c>
      <c r="N79" s="34" t="str">
        <f t="shared" si="16"/>
        <v>rokprognozy=2022 i lp=690</v>
      </c>
      <c r="O79" s="34" t="str">
        <f t="shared" si="16"/>
        <v>rokprognozy=2023 i lp=690</v>
      </c>
      <c r="P79" s="34" t="str">
        <f t="shared" si="16"/>
        <v>rokprognozy=2024 i lp=690</v>
      </c>
      <c r="Q79" s="34" t="str">
        <f t="shared" si="16"/>
        <v>rokprognozy=2025 i lp=690</v>
      </c>
      <c r="R79" s="34" t="str">
        <f t="shared" si="16"/>
        <v>rokprognozy=2026 i lp=690</v>
      </c>
      <c r="S79" s="34" t="str">
        <f t="shared" si="16"/>
        <v>rokprognozy=2027 i lp=690</v>
      </c>
      <c r="T79" s="34" t="str">
        <f t="shared" si="16"/>
        <v>rokprognozy=2028 i lp=690</v>
      </c>
      <c r="U79" s="34" t="str">
        <f t="shared" si="16"/>
        <v>rokprognozy=2029 i lp=690</v>
      </c>
      <c r="V79" s="34" t="str">
        <f t="shared" si="16"/>
        <v>rokprognozy=2030 i lp=690</v>
      </c>
      <c r="W79" s="34" t="str">
        <f t="shared" si="16"/>
        <v>rokprognozy=2031 i lp=690</v>
      </c>
      <c r="X79" s="34" t="str">
        <f t="shared" si="16"/>
        <v>rokprognozy=2032 i lp=690</v>
      </c>
      <c r="Y79" s="34" t="str">
        <f t="shared" si="16"/>
        <v>rokprognozy=2033 i lp=690</v>
      </c>
      <c r="Z79" s="34" t="str">
        <f t="shared" si="16"/>
        <v>rokprognozy=2034 i lp=690</v>
      </c>
      <c r="AA79" s="34" t="str">
        <f t="shared" si="16"/>
        <v>rokprognozy=2035 i lp=690</v>
      </c>
      <c r="AB79" s="34" t="str">
        <f t="shared" si="16"/>
        <v>rokprognozy=2036 i lp=690</v>
      </c>
      <c r="AC79" s="34" t="str">
        <f t="shared" si="16"/>
        <v>rokprognozy=2037 i lp=690</v>
      </c>
      <c r="AD79" s="34" t="str">
        <f t="shared" si="18"/>
        <v>rokprognozy=2038 i lp=690</v>
      </c>
      <c r="AE79" s="34" t="str">
        <f t="shared" si="18"/>
        <v>rokprognozy=2039 i lp=690</v>
      </c>
      <c r="AF79" s="34" t="str">
        <f t="shared" si="18"/>
        <v>rokprognozy=2040 i lp=690</v>
      </c>
      <c r="AG79" s="34" t="str">
        <f t="shared" si="18"/>
        <v>rokprognozy=2041 i lp=690</v>
      </c>
      <c r="AH79" s="34" t="str">
        <f t="shared" si="18"/>
        <v>rokprognozy=2042 i lp=690</v>
      </c>
    </row>
    <row r="80" spans="1:34">
      <c r="A80" s="33">
        <v>700</v>
      </c>
      <c r="B80" s="33">
        <v>12.2</v>
      </c>
      <c r="C80" s="34" t="s">
        <v>125</v>
      </c>
      <c r="D80" s="34" t="str">
        <f t="shared" si="17"/>
        <v>rokprognozy=2013 i lp=700</v>
      </c>
      <c r="E80" s="34" t="str">
        <f t="shared" si="15"/>
        <v>rokprognozy=2013 i lp=700</v>
      </c>
      <c r="F80" s="34" t="str">
        <f t="shared" si="15"/>
        <v>rokprognozy=2014 i lp=700</v>
      </c>
      <c r="G80" s="34" t="str">
        <f t="shared" si="15"/>
        <v>rokprognozy=2015 i lp=700</v>
      </c>
      <c r="H80" s="34" t="str">
        <f t="shared" si="15"/>
        <v>rokprognozy=2016 i lp=700</v>
      </c>
      <c r="I80" s="34" t="str">
        <f t="shared" si="15"/>
        <v>rokprognozy=2017 i lp=700</v>
      </c>
      <c r="J80" s="34" t="str">
        <f t="shared" si="15"/>
        <v>rokprognozy=2018 i lp=700</v>
      </c>
      <c r="K80" s="34" t="str">
        <f t="shared" si="15"/>
        <v>rokprognozy=2019 i lp=700</v>
      </c>
      <c r="L80" s="34" t="str">
        <f t="shared" si="15"/>
        <v>rokprognozy=2020 i lp=700</v>
      </c>
      <c r="M80" s="34" t="str">
        <f t="shared" si="15"/>
        <v>rokprognozy=2021 i lp=700</v>
      </c>
      <c r="N80" s="34" t="str">
        <f t="shared" si="16"/>
        <v>rokprognozy=2022 i lp=700</v>
      </c>
      <c r="O80" s="34" t="str">
        <f t="shared" si="16"/>
        <v>rokprognozy=2023 i lp=700</v>
      </c>
      <c r="P80" s="34" t="str">
        <f t="shared" si="16"/>
        <v>rokprognozy=2024 i lp=700</v>
      </c>
      <c r="Q80" s="34" t="str">
        <f t="shared" si="16"/>
        <v>rokprognozy=2025 i lp=700</v>
      </c>
      <c r="R80" s="34" t="str">
        <f t="shared" si="16"/>
        <v>rokprognozy=2026 i lp=700</v>
      </c>
      <c r="S80" s="34" t="str">
        <f t="shared" si="16"/>
        <v>rokprognozy=2027 i lp=700</v>
      </c>
      <c r="T80" s="34" t="str">
        <f t="shared" si="16"/>
        <v>rokprognozy=2028 i lp=700</v>
      </c>
      <c r="U80" s="34" t="str">
        <f t="shared" si="16"/>
        <v>rokprognozy=2029 i lp=700</v>
      </c>
      <c r="V80" s="34" t="str">
        <f t="shared" si="16"/>
        <v>rokprognozy=2030 i lp=700</v>
      </c>
      <c r="W80" s="34" t="str">
        <f t="shared" si="16"/>
        <v>rokprognozy=2031 i lp=700</v>
      </c>
      <c r="X80" s="34" t="str">
        <f t="shared" si="16"/>
        <v>rokprognozy=2032 i lp=700</v>
      </c>
      <c r="Y80" s="34" t="str">
        <f t="shared" si="16"/>
        <v>rokprognozy=2033 i lp=700</v>
      </c>
      <c r="Z80" s="34" t="str">
        <f t="shared" si="16"/>
        <v>rokprognozy=2034 i lp=700</v>
      </c>
      <c r="AA80" s="34" t="str">
        <f t="shared" si="16"/>
        <v>rokprognozy=2035 i lp=700</v>
      </c>
      <c r="AB80" s="34" t="str">
        <f t="shared" si="16"/>
        <v>rokprognozy=2036 i lp=700</v>
      </c>
      <c r="AC80" s="34" t="str">
        <f t="shared" si="16"/>
        <v>rokprognozy=2037 i lp=700</v>
      </c>
      <c r="AD80" s="34" t="str">
        <f t="shared" si="18"/>
        <v>rokprognozy=2038 i lp=700</v>
      </c>
      <c r="AE80" s="34" t="str">
        <f t="shared" si="18"/>
        <v>rokprognozy=2039 i lp=700</v>
      </c>
      <c r="AF80" s="34" t="str">
        <f t="shared" si="18"/>
        <v>rokprognozy=2040 i lp=700</v>
      </c>
      <c r="AG80" s="34" t="str">
        <f t="shared" si="18"/>
        <v>rokprognozy=2041 i lp=700</v>
      </c>
      <c r="AH80" s="34" t="str">
        <f t="shared" si="18"/>
        <v>rokprognozy=2042 i lp=700</v>
      </c>
    </row>
    <row r="81" spans="1:34">
      <c r="A81" s="33">
        <v>710</v>
      </c>
      <c r="B81" s="33" t="s">
        <v>126</v>
      </c>
      <c r="C81" s="34" t="s">
        <v>127</v>
      </c>
      <c r="D81" s="34" t="str">
        <f t="shared" si="17"/>
        <v>rokprognozy=2013 i lp=710</v>
      </c>
      <c r="E81" s="34" t="str">
        <f t="shared" si="15"/>
        <v>rokprognozy=2013 i lp=710</v>
      </c>
      <c r="F81" s="34" t="str">
        <f t="shared" si="15"/>
        <v>rokprognozy=2014 i lp=710</v>
      </c>
      <c r="G81" s="34" t="str">
        <f t="shared" si="15"/>
        <v>rokprognozy=2015 i lp=710</v>
      </c>
      <c r="H81" s="34" t="str">
        <f t="shared" si="15"/>
        <v>rokprognozy=2016 i lp=710</v>
      </c>
      <c r="I81" s="34" t="str">
        <f t="shared" si="15"/>
        <v>rokprognozy=2017 i lp=710</v>
      </c>
      <c r="J81" s="34" t="str">
        <f t="shared" si="15"/>
        <v>rokprognozy=2018 i lp=710</v>
      </c>
      <c r="K81" s="34" t="str">
        <f t="shared" si="15"/>
        <v>rokprognozy=2019 i lp=710</v>
      </c>
      <c r="L81" s="34" t="str">
        <f t="shared" si="15"/>
        <v>rokprognozy=2020 i lp=710</v>
      </c>
      <c r="M81" s="34" t="str">
        <f t="shared" si="15"/>
        <v>rokprognozy=2021 i lp=710</v>
      </c>
      <c r="N81" s="34" t="str">
        <f t="shared" si="16"/>
        <v>rokprognozy=2022 i lp=710</v>
      </c>
      <c r="O81" s="34" t="str">
        <f t="shared" si="16"/>
        <v>rokprognozy=2023 i lp=710</v>
      </c>
      <c r="P81" s="34" t="str">
        <f t="shared" si="16"/>
        <v>rokprognozy=2024 i lp=710</v>
      </c>
      <c r="Q81" s="34" t="str">
        <f t="shared" si="16"/>
        <v>rokprognozy=2025 i lp=710</v>
      </c>
      <c r="R81" s="34" t="str">
        <f t="shared" si="16"/>
        <v>rokprognozy=2026 i lp=710</v>
      </c>
      <c r="S81" s="34" t="str">
        <f t="shared" si="16"/>
        <v>rokprognozy=2027 i lp=710</v>
      </c>
      <c r="T81" s="34" t="str">
        <f t="shared" si="16"/>
        <v>rokprognozy=2028 i lp=710</v>
      </c>
      <c r="U81" s="34" t="str">
        <f t="shared" si="16"/>
        <v>rokprognozy=2029 i lp=710</v>
      </c>
      <c r="V81" s="34" t="str">
        <f t="shared" si="16"/>
        <v>rokprognozy=2030 i lp=710</v>
      </c>
      <c r="W81" s="34" t="str">
        <f t="shared" si="16"/>
        <v>rokprognozy=2031 i lp=710</v>
      </c>
      <c r="X81" s="34" t="str">
        <f t="shared" si="16"/>
        <v>rokprognozy=2032 i lp=710</v>
      </c>
      <c r="Y81" s="34" t="str">
        <f t="shared" si="16"/>
        <v>rokprognozy=2033 i lp=710</v>
      </c>
      <c r="Z81" s="34" t="str">
        <f t="shared" si="16"/>
        <v>rokprognozy=2034 i lp=710</v>
      </c>
      <c r="AA81" s="34" t="str">
        <f t="shared" si="16"/>
        <v>rokprognozy=2035 i lp=710</v>
      </c>
      <c r="AB81" s="34" t="str">
        <f t="shared" si="16"/>
        <v>rokprognozy=2036 i lp=710</v>
      </c>
      <c r="AC81" s="34" t="str">
        <f t="shared" si="16"/>
        <v>rokprognozy=2037 i lp=710</v>
      </c>
      <c r="AD81" s="34" t="str">
        <f t="shared" si="18"/>
        <v>rokprognozy=2038 i lp=710</v>
      </c>
      <c r="AE81" s="34" t="str">
        <f t="shared" si="18"/>
        <v>rokprognozy=2039 i lp=710</v>
      </c>
      <c r="AF81" s="34" t="str">
        <f t="shared" si="18"/>
        <v>rokprognozy=2040 i lp=710</v>
      </c>
      <c r="AG81" s="34" t="str">
        <f t="shared" si="18"/>
        <v>rokprognozy=2041 i lp=710</v>
      </c>
      <c r="AH81" s="34" t="str">
        <f t="shared" si="18"/>
        <v>rokprognozy=2042 i lp=710</v>
      </c>
    </row>
    <row r="82" spans="1:34">
      <c r="A82" s="33">
        <v>720</v>
      </c>
      <c r="B82" s="33" t="s">
        <v>128</v>
      </c>
      <c r="C82" s="34" t="s">
        <v>129</v>
      </c>
      <c r="D82" s="34" t="str">
        <f t="shared" si="17"/>
        <v>rokprognozy=2013 i lp=720</v>
      </c>
      <c r="E82" s="34" t="str">
        <f t="shared" si="15"/>
        <v>rokprognozy=2013 i lp=720</v>
      </c>
      <c r="F82" s="34" t="str">
        <f t="shared" si="15"/>
        <v>rokprognozy=2014 i lp=720</v>
      </c>
      <c r="G82" s="34" t="str">
        <f t="shared" si="15"/>
        <v>rokprognozy=2015 i lp=720</v>
      </c>
      <c r="H82" s="34" t="str">
        <f t="shared" si="15"/>
        <v>rokprognozy=2016 i lp=720</v>
      </c>
      <c r="I82" s="34" t="str">
        <f t="shared" si="15"/>
        <v>rokprognozy=2017 i lp=720</v>
      </c>
      <c r="J82" s="34" t="str">
        <f t="shared" si="15"/>
        <v>rokprognozy=2018 i lp=720</v>
      </c>
      <c r="K82" s="34" t="str">
        <f t="shared" si="15"/>
        <v>rokprognozy=2019 i lp=720</v>
      </c>
      <c r="L82" s="34" t="str">
        <f t="shared" si="15"/>
        <v>rokprognozy=2020 i lp=720</v>
      </c>
      <c r="M82" s="34" t="str">
        <f t="shared" si="15"/>
        <v>rokprognozy=2021 i lp=720</v>
      </c>
      <c r="N82" s="34" t="str">
        <f t="shared" si="16"/>
        <v>rokprognozy=2022 i lp=720</v>
      </c>
      <c r="O82" s="34" t="str">
        <f t="shared" si="16"/>
        <v>rokprognozy=2023 i lp=720</v>
      </c>
      <c r="P82" s="34" t="str">
        <f t="shared" si="16"/>
        <v>rokprognozy=2024 i lp=720</v>
      </c>
      <c r="Q82" s="34" t="str">
        <f t="shared" si="16"/>
        <v>rokprognozy=2025 i lp=720</v>
      </c>
      <c r="R82" s="34" t="str">
        <f t="shared" si="16"/>
        <v>rokprognozy=2026 i lp=720</v>
      </c>
      <c r="S82" s="34" t="str">
        <f t="shared" si="16"/>
        <v>rokprognozy=2027 i lp=720</v>
      </c>
      <c r="T82" s="34" t="str">
        <f t="shared" si="16"/>
        <v>rokprognozy=2028 i lp=720</v>
      </c>
      <c r="U82" s="34" t="str">
        <f t="shared" si="16"/>
        <v>rokprognozy=2029 i lp=720</v>
      </c>
      <c r="V82" s="34" t="str">
        <f t="shared" si="16"/>
        <v>rokprognozy=2030 i lp=720</v>
      </c>
      <c r="W82" s="34" t="str">
        <f t="shared" si="16"/>
        <v>rokprognozy=2031 i lp=720</v>
      </c>
      <c r="X82" s="34" t="str">
        <f t="shared" si="16"/>
        <v>rokprognozy=2032 i lp=720</v>
      </c>
      <c r="Y82" s="34" t="str">
        <f t="shared" si="16"/>
        <v>rokprognozy=2033 i lp=720</v>
      </c>
      <c r="Z82" s="34" t="str">
        <f t="shared" si="16"/>
        <v>rokprognozy=2034 i lp=720</v>
      </c>
      <c r="AA82" s="34" t="str">
        <f t="shared" si="16"/>
        <v>rokprognozy=2035 i lp=720</v>
      </c>
      <c r="AB82" s="34" t="str">
        <f t="shared" si="16"/>
        <v>rokprognozy=2036 i lp=720</v>
      </c>
      <c r="AC82" s="34" t="str">
        <f t="shared" si="16"/>
        <v>rokprognozy=2037 i lp=720</v>
      </c>
      <c r="AD82" s="34" t="str">
        <f t="shared" si="18"/>
        <v>rokprognozy=2038 i lp=720</v>
      </c>
      <c r="AE82" s="34" t="str">
        <f t="shared" si="18"/>
        <v>rokprognozy=2039 i lp=720</v>
      </c>
      <c r="AF82" s="34" t="str">
        <f t="shared" si="18"/>
        <v>rokprognozy=2040 i lp=720</v>
      </c>
      <c r="AG82" s="34" t="str">
        <f t="shared" si="18"/>
        <v>rokprognozy=2041 i lp=720</v>
      </c>
      <c r="AH82" s="34" t="str">
        <f t="shared" si="18"/>
        <v>rokprognozy=2042 i lp=720</v>
      </c>
    </row>
    <row r="83" spans="1:34">
      <c r="A83" s="33">
        <v>730</v>
      </c>
      <c r="B83" s="33">
        <v>12.3</v>
      </c>
      <c r="C83" s="34" t="s">
        <v>130</v>
      </c>
      <c r="D83" s="34" t="str">
        <f t="shared" si="17"/>
        <v>rokprognozy=2013 i lp=730</v>
      </c>
      <c r="E83" s="34" t="str">
        <f t="shared" si="15"/>
        <v>rokprognozy=2013 i lp=730</v>
      </c>
      <c r="F83" s="34" t="str">
        <f t="shared" si="15"/>
        <v>rokprognozy=2014 i lp=730</v>
      </c>
      <c r="G83" s="34" t="str">
        <f t="shared" si="15"/>
        <v>rokprognozy=2015 i lp=730</v>
      </c>
      <c r="H83" s="34" t="str">
        <f t="shared" si="15"/>
        <v>rokprognozy=2016 i lp=730</v>
      </c>
      <c r="I83" s="34" t="str">
        <f t="shared" si="15"/>
        <v>rokprognozy=2017 i lp=730</v>
      </c>
      <c r="J83" s="34" t="str">
        <f t="shared" si="15"/>
        <v>rokprognozy=2018 i lp=730</v>
      </c>
      <c r="K83" s="34" t="str">
        <f t="shared" si="15"/>
        <v>rokprognozy=2019 i lp=730</v>
      </c>
      <c r="L83" s="34" t="str">
        <f t="shared" si="15"/>
        <v>rokprognozy=2020 i lp=730</v>
      </c>
      <c r="M83" s="34" t="str">
        <f t="shared" si="15"/>
        <v>rokprognozy=2021 i lp=730</v>
      </c>
      <c r="N83" s="34" t="str">
        <f t="shared" si="16"/>
        <v>rokprognozy=2022 i lp=730</v>
      </c>
      <c r="O83" s="34" t="str">
        <f t="shared" si="16"/>
        <v>rokprognozy=2023 i lp=730</v>
      </c>
      <c r="P83" s="34" t="str">
        <f t="shared" si="16"/>
        <v>rokprognozy=2024 i lp=730</v>
      </c>
      <c r="Q83" s="34" t="str">
        <f t="shared" si="16"/>
        <v>rokprognozy=2025 i lp=730</v>
      </c>
      <c r="R83" s="34" t="str">
        <f t="shared" si="16"/>
        <v>rokprognozy=2026 i lp=730</v>
      </c>
      <c r="S83" s="34" t="str">
        <f t="shared" si="16"/>
        <v>rokprognozy=2027 i lp=730</v>
      </c>
      <c r="T83" s="34" t="str">
        <f t="shared" si="16"/>
        <v>rokprognozy=2028 i lp=730</v>
      </c>
      <c r="U83" s="34" t="str">
        <f t="shared" si="16"/>
        <v>rokprognozy=2029 i lp=730</v>
      </c>
      <c r="V83" s="34" t="str">
        <f t="shared" si="16"/>
        <v>rokprognozy=2030 i lp=730</v>
      </c>
      <c r="W83" s="34" t="str">
        <f t="shared" si="16"/>
        <v>rokprognozy=2031 i lp=730</v>
      </c>
      <c r="X83" s="34" t="str">
        <f t="shared" si="16"/>
        <v>rokprognozy=2032 i lp=730</v>
      </c>
      <c r="Y83" s="34" t="str">
        <f t="shared" si="16"/>
        <v>rokprognozy=2033 i lp=730</v>
      </c>
      <c r="Z83" s="34" t="str">
        <f t="shared" si="16"/>
        <v>rokprognozy=2034 i lp=730</v>
      </c>
      <c r="AA83" s="34" t="str">
        <f t="shared" si="16"/>
        <v>rokprognozy=2035 i lp=730</v>
      </c>
      <c r="AB83" s="34" t="str">
        <f t="shared" si="16"/>
        <v>rokprognozy=2036 i lp=730</v>
      </c>
      <c r="AC83" s="34" t="str">
        <f t="shared" si="16"/>
        <v>rokprognozy=2037 i lp=730</v>
      </c>
      <c r="AD83" s="34" t="str">
        <f t="shared" si="18"/>
        <v>rokprognozy=2038 i lp=730</v>
      </c>
      <c r="AE83" s="34" t="str">
        <f t="shared" si="18"/>
        <v>rokprognozy=2039 i lp=730</v>
      </c>
      <c r="AF83" s="34" t="str">
        <f t="shared" si="18"/>
        <v>rokprognozy=2040 i lp=730</v>
      </c>
      <c r="AG83" s="34" t="str">
        <f t="shared" si="18"/>
        <v>rokprognozy=2041 i lp=730</v>
      </c>
      <c r="AH83" s="34" t="str">
        <f t="shared" si="18"/>
        <v>rokprognozy=2042 i lp=730</v>
      </c>
    </row>
    <row r="84" spans="1:34">
      <c r="A84" s="33">
        <v>740</v>
      </c>
      <c r="B84" s="33" t="s">
        <v>131</v>
      </c>
      <c r="C84" s="34" t="s">
        <v>132</v>
      </c>
      <c r="D84" s="34" t="str">
        <f t="shared" si="17"/>
        <v>rokprognozy=2013 i lp=740</v>
      </c>
      <c r="E84" s="34" t="str">
        <f t="shared" si="15"/>
        <v>rokprognozy=2013 i lp=740</v>
      </c>
      <c r="F84" s="34" t="str">
        <f t="shared" si="15"/>
        <v>rokprognozy=2014 i lp=740</v>
      </c>
      <c r="G84" s="34" t="str">
        <f t="shared" si="15"/>
        <v>rokprognozy=2015 i lp=740</v>
      </c>
      <c r="H84" s="34" t="str">
        <f t="shared" si="15"/>
        <v>rokprognozy=2016 i lp=740</v>
      </c>
      <c r="I84" s="34" t="str">
        <f t="shared" si="15"/>
        <v>rokprognozy=2017 i lp=740</v>
      </c>
      <c r="J84" s="34" t="str">
        <f t="shared" si="15"/>
        <v>rokprognozy=2018 i lp=740</v>
      </c>
      <c r="K84" s="34" t="str">
        <f t="shared" si="15"/>
        <v>rokprognozy=2019 i lp=740</v>
      </c>
      <c r="L84" s="34" t="str">
        <f t="shared" si="15"/>
        <v>rokprognozy=2020 i lp=740</v>
      </c>
      <c r="M84" s="34" t="str">
        <f t="shared" si="15"/>
        <v>rokprognozy=2021 i lp=740</v>
      </c>
      <c r="N84" s="34" t="str">
        <f t="shared" si="16"/>
        <v>rokprognozy=2022 i lp=740</v>
      </c>
      <c r="O84" s="34" t="str">
        <f t="shared" si="16"/>
        <v>rokprognozy=2023 i lp=740</v>
      </c>
      <c r="P84" s="34" t="str">
        <f t="shared" si="16"/>
        <v>rokprognozy=2024 i lp=740</v>
      </c>
      <c r="Q84" s="34" t="str">
        <f t="shared" si="16"/>
        <v>rokprognozy=2025 i lp=740</v>
      </c>
      <c r="R84" s="34" t="str">
        <f t="shared" si="16"/>
        <v>rokprognozy=2026 i lp=740</v>
      </c>
      <c r="S84" s="34" t="str">
        <f t="shared" si="16"/>
        <v>rokprognozy=2027 i lp=740</v>
      </c>
      <c r="T84" s="34" t="str">
        <f t="shared" si="16"/>
        <v>rokprognozy=2028 i lp=740</v>
      </c>
      <c r="U84" s="34" t="str">
        <f t="shared" si="16"/>
        <v>rokprognozy=2029 i lp=740</v>
      </c>
      <c r="V84" s="34" t="str">
        <f t="shared" si="16"/>
        <v>rokprognozy=2030 i lp=740</v>
      </c>
      <c r="W84" s="34" t="str">
        <f t="shared" si="16"/>
        <v>rokprognozy=2031 i lp=740</v>
      </c>
      <c r="X84" s="34" t="str">
        <f t="shared" si="16"/>
        <v>rokprognozy=2032 i lp=740</v>
      </c>
      <c r="Y84" s="34" t="str">
        <f t="shared" si="16"/>
        <v>rokprognozy=2033 i lp=740</v>
      </c>
      <c r="Z84" s="34" t="str">
        <f t="shared" si="16"/>
        <v>rokprognozy=2034 i lp=740</v>
      </c>
      <c r="AA84" s="34" t="str">
        <f t="shared" si="16"/>
        <v>rokprognozy=2035 i lp=740</v>
      </c>
      <c r="AB84" s="34" t="str">
        <f t="shared" si="16"/>
        <v>rokprognozy=2036 i lp=740</v>
      </c>
      <c r="AC84" s="34" t="str">
        <f t="shared" si="16"/>
        <v>rokprognozy=2037 i lp=740</v>
      </c>
      <c r="AD84" s="34" t="str">
        <f t="shared" si="18"/>
        <v>rokprognozy=2038 i lp=740</v>
      </c>
      <c r="AE84" s="34" t="str">
        <f t="shared" si="18"/>
        <v>rokprognozy=2039 i lp=740</v>
      </c>
      <c r="AF84" s="34" t="str">
        <f t="shared" si="18"/>
        <v>rokprognozy=2040 i lp=740</v>
      </c>
      <c r="AG84" s="34" t="str">
        <f t="shared" si="18"/>
        <v>rokprognozy=2041 i lp=740</v>
      </c>
      <c r="AH84" s="34" t="str">
        <f t="shared" si="18"/>
        <v>rokprognozy=2042 i lp=740</v>
      </c>
    </row>
    <row r="85" spans="1:34">
      <c r="A85" s="33">
        <v>750</v>
      </c>
      <c r="B85" s="33" t="s">
        <v>133</v>
      </c>
      <c r="C85" s="34" t="s">
        <v>134</v>
      </c>
      <c r="D85" s="34" t="str">
        <f t="shared" si="17"/>
        <v>rokprognozy=2013 i lp=750</v>
      </c>
      <c r="E85" s="34" t="str">
        <f t="shared" ref="E85:T104" si="19">+"rokprognozy="&amp;E$9&amp;" i lp="&amp;$A85</f>
        <v>rokprognozy=2013 i lp=750</v>
      </c>
      <c r="F85" s="34" t="str">
        <f t="shared" si="19"/>
        <v>rokprognozy=2014 i lp=750</v>
      </c>
      <c r="G85" s="34" t="str">
        <f t="shared" si="19"/>
        <v>rokprognozy=2015 i lp=750</v>
      </c>
      <c r="H85" s="34" t="str">
        <f t="shared" si="19"/>
        <v>rokprognozy=2016 i lp=750</v>
      </c>
      <c r="I85" s="34" t="str">
        <f t="shared" si="19"/>
        <v>rokprognozy=2017 i lp=750</v>
      </c>
      <c r="J85" s="34" t="str">
        <f t="shared" si="19"/>
        <v>rokprognozy=2018 i lp=750</v>
      </c>
      <c r="K85" s="34" t="str">
        <f t="shared" si="19"/>
        <v>rokprognozy=2019 i lp=750</v>
      </c>
      <c r="L85" s="34" t="str">
        <f t="shared" si="19"/>
        <v>rokprognozy=2020 i lp=750</v>
      </c>
      <c r="M85" s="34" t="str">
        <f t="shared" si="19"/>
        <v>rokprognozy=2021 i lp=750</v>
      </c>
      <c r="N85" s="34" t="str">
        <f t="shared" si="16"/>
        <v>rokprognozy=2022 i lp=750</v>
      </c>
      <c r="O85" s="34" t="str">
        <f t="shared" si="16"/>
        <v>rokprognozy=2023 i lp=750</v>
      </c>
      <c r="P85" s="34" t="str">
        <f t="shared" si="16"/>
        <v>rokprognozy=2024 i lp=750</v>
      </c>
      <c r="Q85" s="34" t="str">
        <f t="shared" si="16"/>
        <v>rokprognozy=2025 i lp=750</v>
      </c>
      <c r="R85" s="34" t="str">
        <f t="shared" si="16"/>
        <v>rokprognozy=2026 i lp=750</v>
      </c>
      <c r="S85" s="34" t="str">
        <f t="shared" si="16"/>
        <v>rokprognozy=2027 i lp=750</v>
      </c>
      <c r="T85" s="34" t="str">
        <f t="shared" si="16"/>
        <v>rokprognozy=2028 i lp=750</v>
      </c>
      <c r="U85" s="34" t="str">
        <f t="shared" si="16"/>
        <v>rokprognozy=2029 i lp=750</v>
      </c>
      <c r="V85" s="34" t="str">
        <f t="shared" si="16"/>
        <v>rokprognozy=2030 i lp=750</v>
      </c>
      <c r="W85" s="34" t="str">
        <f t="shared" si="16"/>
        <v>rokprognozy=2031 i lp=750</v>
      </c>
      <c r="X85" s="34" t="str">
        <f t="shared" si="16"/>
        <v>rokprognozy=2032 i lp=750</v>
      </c>
      <c r="Y85" s="34" t="str">
        <f t="shared" si="16"/>
        <v>rokprognozy=2033 i lp=750</v>
      </c>
      <c r="Z85" s="34" t="str">
        <f t="shared" si="16"/>
        <v>rokprognozy=2034 i lp=750</v>
      </c>
      <c r="AA85" s="34" t="str">
        <f t="shared" si="16"/>
        <v>rokprognozy=2035 i lp=750</v>
      </c>
      <c r="AB85" s="34" t="str">
        <f t="shared" si="16"/>
        <v>rokprognozy=2036 i lp=750</v>
      </c>
      <c r="AC85" s="34" t="str">
        <f t="shared" si="16"/>
        <v>rokprognozy=2037 i lp=750</v>
      </c>
      <c r="AD85" s="34" t="str">
        <f t="shared" si="18"/>
        <v>rokprognozy=2038 i lp=750</v>
      </c>
      <c r="AE85" s="34" t="str">
        <f t="shared" si="18"/>
        <v>rokprognozy=2039 i lp=750</v>
      </c>
      <c r="AF85" s="34" t="str">
        <f t="shared" si="18"/>
        <v>rokprognozy=2040 i lp=750</v>
      </c>
      <c r="AG85" s="34" t="str">
        <f t="shared" si="18"/>
        <v>rokprognozy=2041 i lp=750</v>
      </c>
      <c r="AH85" s="34" t="str">
        <f t="shared" si="18"/>
        <v>rokprognozy=2042 i lp=750</v>
      </c>
    </row>
    <row r="86" spans="1:34">
      <c r="A86" s="33">
        <v>760</v>
      </c>
      <c r="B86" s="33">
        <v>12.4</v>
      </c>
      <c r="C86" s="34" t="s">
        <v>135</v>
      </c>
      <c r="D86" s="34" t="str">
        <f t="shared" si="17"/>
        <v>rokprognozy=2013 i lp=760</v>
      </c>
      <c r="E86" s="34" t="str">
        <f t="shared" si="19"/>
        <v>rokprognozy=2013 i lp=760</v>
      </c>
      <c r="F86" s="34" t="str">
        <f t="shared" si="19"/>
        <v>rokprognozy=2014 i lp=760</v>
      </c>
      <c r="G86" s="34" t="str">
        <f t="shared" si="19"/>
        <v>rokprognozy=2015 i lp=760</v>
      </c>
      <c r="H86" s="34" t="str">
        <f t="shared" si="19"/>
        <v>rokprognozy=2016 i lp=760</v>
      </c>
      <c r="I86" s="34" t="str">
        <f t="shared" si="19"/>
        <v>rokprognozy=2017 i lp=760</v>
      </c>
      <c r="J86" s="34" t="str">
        <f t="shared" si="19"/>
        <v>rokprognozy=2018 i lp=760</v>
      </c>
      <c r="K86" s="34" t="str">
        <f t="shared" si="19"/>
        <v>rokprognozy=2019 i lp=760</v>
      </c>
      <c r="L86" s="34" t="str">
        <f t="shared" si="19"/>
        <v>rokprognozy=2020 i lp=760</v>
      </c>
      <c r="M86" s="34" t="str">
        <f t="shared" si="19"/>
        <v>rokprognozy=2021 i lp=760</v>
      </c>
      <c r="N86" s="34" t="str">
        <f t="shared" si="16"/>
        <v>rokprognozy=2022 i lp=760</v>
      </c>
      <c r="O86" s="34" t="str">
        <f t="shared" si="16"/>
        <v>rokprognozy=2023 i lp=760</v>
      </c>
      <c r="P86" s="34" t="str">
        <f t="shared" si="16"/>
        <v>rokprognozy=2024 i lp=760</v>
      </c>
      <c r="Q86" s="34" t="str">
        <f t="shared" si="16"/>
        <v>rokprognozy=2025 i lp=760</v>
      </c>
      <c r="R86" s="34" t="str">
        <f t="shared" si="16"/>
        <v>rokprognozy=2026 i lp=760</v>
      </c>
      <c r="S86" s="34" t="str">
        <f t="shared" si="16"/>
        <v>rokprognozy=2027 i lp=760</v>
      </c>
      <c r="T86" s="34" t="str">
        <f t="shared" si="16"/>
        <v>rokprognozy=2028 i lp=760</v>
      </c>
      <c r="U86" s="34" t="str">
        <f t="shared" si="16"/>
        <v>rokprognozy=2029 i lp=760</v>
      </c>
      <c r="V86" s="34" t="str">
        <f t="shared" si="16"/>
        <v>rokprognozy=2030 i lp=760</v>
      </c>
      <c r="W86" s="34" t="str">
        <f t="shared" si="16"/>
        <v>rokprognozy=2031 i lp=760</v>
      </c>
      <c r="X86" s="34" t="str">
        <f t="shared" si="16"/>
        <v>rokprognozy=2032 i lp=760</v>
      </c>
      <c r="Y86" s="34" t="str">
        <f t="shared" si="16"/>
        <v>rokprognozy=2033 i lp=760</v>
      </c>
      <c r="Z86" s="34" t="str">
        <f t="shared" si="16"/>
        <v>rokprognozy=2034 i lp=760</v>
      </c>
      <c r="AA86" s="34" t="str">
        <f t="shared" si="16"/>
        <v>rokprognozy=2035 i lp=760</v>
      </c>
      <c r="AB86" s="34" t="str">
        <f t="shared" si="16"/>
        <v>rokprognozy=2036 i lp=760</v>
      </c>
      <c r="AC86" s="34" t="str">
        <f t="shared" si="16"/>
        <v>rokprognozy=2037 i lp=760</v>
      </c>
      <c r="AD86" s="34" t="str">
        <f t="shared" si="18"/>
        <v>rokprognozy=2038 i lp=760</v>
      </c>
      <c r="AE86" s="34" t="str">
        <f t="shared" si="18"/>
        <v>rokprognozy=2039 i lp=760</v>
      </c>
      <c r="AF86" s="34" t="str">
        <f t="shared" si="18"/>
        <v>rokprognozy=2040 i lp=760</v>
      </c>
      <c r="AG86" s="34" t="str">
        <f t="shared" si="18"/>
        <v>rokprognozy=2041 i lp=760</v>
      </c>
      <c r="AH86" s="34" t="str">
        <f t="shared" si="18"/>
        <v>rokprognozy=2042 i lp=760</v>
      </c>
    </row>
    <row r="87" spans="1:34">
      <c r="A87" s="33">
        <v>770</v>
      </c>
      <c r="B87" s="33" t="s">
        <v>136</v>
      </c>
      <c r="C87" s="34" t="s">
        <v>137</v>
      </c>
      <c r="D87" s="34" t="str">
        <f t="shared" si="17"/>
        <v>rokprognozy=2013 i lp=770</v>
      </c>
      <c r="E87" s="34" t="str">
        <f t="shared" si="19"/>
        <v>rokprognozy=2013 i lp=770</v>
      </c>
      <c r="F87" s="34" t="str">
        <f t="shared" si="19"/>
        <v>rokprognozy=2014 i lp=770</v>
      </c>
      <c r="G87" s="34" t="str">
        <f t="shared" si="19"/>
        <v>rokprognozy=2015 i lp=770</v>
      </c>
      <c r="H87" s="34" t="str">
        <f t="shared" si="19"/>
        <v>rokprognozy=2016 i lp=770</v>
      </c>
      <c r="I87" s="34" t="str">
        <f t="shared" si="19"/>
        <v>rokprognozy=2017 i lp=770</v>
      </c>
      <c r="J87" s="34" t="str">
        <f t="shared" si="19"/>
        <v>rokprognozy=2018 i lp=770</v>
      </c>
      <c r="K87" s="34" t="str">
        <f t="shared" si="19"/>
        <v>rokprognozy=2019 i lp=770</v>
      </c>
      <c r="L87" s="34" t="str">
        <f t="shared" si="19"/>
        <v>rokprognozy=2020 i lp=770</v>
      </c>
      <c r="M87" s="34" t="str">
        <f t="shared" si="19"/>
        <v>rokprognozy=2021 i lp=770</v>
      </c>
      <c r="N87" s="34" t="str">
        <f t="shared" si="16"/>
        <v>rokprognozy=2022 i lp=770</v>
      </c>
      <c r="O87" s="34" t="str">
        <f t="shared" si="16"/>
        <v>rokprognozy=2023 i lp=770</v>
      </c>
      <c r="P87" s="34" t="str">
        <f t="shared" si="16"/>
        <v>rokprognozy=2024 i lp=770</v>
      </c>
      <c r="Q87" s="34" t="str">
        <f t="shared" si="16"/>
        <v>rokprognozy=2025 i lp=770</v>
      </c>
      <c r="R87" s="34" t="str">
        <f t="shared" si="16"/>
        <v>rokprognozy=2026 i lp=770</v>
      </c>
      <c r="S87" s="34" t="str">
        <f t="shared" si="16"/>
        <v>rokprognozy=2027 i lp=770</v>
      </c>
      <c r="T87" s="34" t="str">
        <f t="shared" si="16"/>
        <v>rokprognozy=2028 i lp=770</v>
      </c>
      <c r="U87" s="34" t="str">
        <f t="shared" si="16"/>
        <v>rokprognozy=2029 i lp=770</v>
      </c>
      <c r="V87" s="34" t="str">
        <f t="shared" si="16"/>
        <v>rokprognozy=2030 i lp=770</v>
      </c>
      <c r="W87" s="34" t="str">
        <f t="shared" si="16"/>
        <v>rokprognozy=2031 i lp=770</v>
      </c>
      <c r="X87" s="34" t="str">
        <f t="shared" si="16"/>
        <v>rokprognozy=2032 i lp=770</v>
      </c>
      <c r="Y87" s="34" t="str">
        <f t="shared" si="16"/>
        <v>rokprognozy=2033 i lp=770</v>
      </c>
      <c r="Z87" s="34" t="str">
        <f t="shared" si="16"/>
        <v>rokprognozy=2034 i lp=770</v>
      </c>
      <c r="AA87" s="34" t="str">
        <f t="shared" si="16"/>
        <v>rokprognozy=2035 i lp=770</v>
      </c>
      <c r="AB87" s="34" t="str">
        <f t="shared" si="16"/>
        <v>rokprognozy=2036 i lp=770</v>
      </c>
      <c r="AC87" s="34" t="str">
        <f t="shared" si="16"/>
        <v>rokprognozy=2037 i lp=770</v>
      </c>
      <c r="AD87" s="34" t="str">
        <f t="shared" si="18"/>
        <v>rokprognozy=2038 i lp=770</v>
      </c>
      <c r="AE87" s="34" t="str">
        <f t="shared" si="18"/>
        <v>rokprognozy=2039 i lp=770</v>
      </c>
      <c r="AF87" s="34" t="str">
        <f t="shared" si="18"/>
        <v>rokprognozy=2040 i lp=770</v>
      </c>
      <c r="AG87" s="34" t="str">
        <f t="shared" si="18"/>
        <v>rokprognozy=2041 i lp=770</v>
      </c>
      <c r="AH87" s="34" t="str">
        <f t="shared" si="18"/>
        <v>rokprognozy=2042 i lp=770</v>
      </c>
    </row>
    <row r="88" spans="1:34">
      <c r="A88" s="33">
        <v>780</v>
      </c>
      <c r="B88" s="33" t="s">
        <v>138</v>
      </c>
      <c r="C88" s="34" t="s">
        <v>139</v>
      </c>
      <c r="D88" s="34" t="str">
        <f t="shared" si="17"/>
        <v>rokprognozy=2013 i lp=780</v>
      </c>
      <c r="E88" s="34" t="str">
        <f t="shared" si="19"/>
        <v>rokprognozy=2013 i lp=780</v>
      </c>
      <c r="F88" s="34" t="str">
        <f t="shared" si="19"/>
        <v>rokprognozy=2014 i lp=780</v>
      </c>
      <c r="G88" s="34" t="str">
        <f t="shared" si="19"/>
        <v>rokprognozy=2015 i lp=780</v>
      </c>
      <c r="H88" s="34" t="str">
        <f t="shared" si="19"/>
        <v>rokprognozy=2016 i lp=780</v>
      </c>
      <c r="I88" s="34" t="str">
        <f t="shared" si="19"/>
        <v>rokprognozy=2017 i lp=780</v>
      </c>
      <c r="J88" s="34" t="str">
        <f t="shared" si="19"/>
        <v>rokprognozy=2018 i lp=780</v>
      </c>
      <c r="K88" s="34" t="str">
        <f t="shared" si="19"/>
        <v>rokprognozy=2019 i lp=780</v>
      </c>
      <c r="L88" s="34" t="str">
        <f t="shared" si="19"/>
        <v>rokprognozy=2020 i lp=780</v>
      </c>
      <c r="M88" s="34" t="str">
        <f t="shared" si="19"/>
        <v>rokprognozy=2021 i lp=780</v>
      </c>
      <c r="N88" s="34" t="str">
        <f t="shared" si="19"/>
        <v>rokprognozy=2022 i lp=780</v>
      </c>
      <c r="O88" s="34" t="str">
        <f t="shared" si="19"/>
        <v>rokprognozy=2023 i lp=780</v>
      </c>
      <c r="P88" s="34" t="str">
        <f t="shared" si="19"/>
        <v>rokprognozy=2024 i lp=780</v>
      </c>
      <c r="Q88" s="34" t="str">
        <f t="shared" si="19"/>
        <v>rokprognozy=2025 i lp=780</v>
      </c>
      <c r="R88" s="34" t="str">
        <f t="shared" si="19"/>
        <v>rokprognozy=2026 i lp=780</v>
      </c>
      <c r="S88" s="34" t="str">
        <f t="shared" si="19"/>
        <v>rokprognozy=2027 i lp=780</v>
      </c>
      <c r="T88" s="34" t="str">
        <f t="shared" si="19"/>
        <v>rokprognozy=2028 i lp=780</v>
      </c>
      <c r="U88" s="34" t="str">
        <f t="shared" ref="N88:AC104" si="20">+"rokprognozy="&amp;U$9&amp;" i lp="&amp;$A88</f>
        <v>rokprognozy=2029 i lp=780</v>
      </c>
      <c r="V88" s="34" t="str">
        <f t="shared" si="20"/>
        <v>rokprognozy=2030 i lp=780</v>
      </c>
      <c r="W88" s="34" t="str">
        <f t="shared" si="20"/>
        <v>rokprognozy=2031 i lp=780</v>
      </c>
      <c r="X88" s="34" t="str">
        <f t="shared" si="20"/>
        <v>rokprognozy=2032 i lp=780</v>
      </c>
      <c r="Y88" s="34" t="str">
        <f t="shared" si="20"/>
        <v>rokprognozy=2033 i lp=780</v>
      </c>
      <c r="Z88" s="34" t="str">
        <f t="shared" si="20"/>
        <v>rokprognozy=2034 i lp=780</v>
      </c>
      <c r="AA88" s="34" t="str">
        <f t="shared" si="20"/>
        <v>rokprognozy=2035 i lp=780</v>
      </c>
      <c r="AB88" s="34" t="str">
        <f t="shared" si="20"/>
        <v>rokprognozy=2036 i lp=780</v>
      </c>
      <c r="AC88" s="34" t="str">
        <f t="shared" si="20"/>
        <v>rokprognozy=2037 i lp=780</v>
      </c>
      <c r="AD88" s="34" t="str">
        <f t="shared" si="18"/>
        <v>rokprognozy=2038 i lp=780</v>
      </c>
      <c r="AE88" s="34" t="str">
        <f t="shared" si="18"/>
        <v>rokprognozy=2039 i lp=780</v>
      </c>
      <c r="AF88" s="34" t="str">
        <f t="shared" si="18"/>
        <v>rokprognozy=2040 i lp=780</v>
      </c>
      <c r="AG88" s="34" t="str">
        <f t="shared" si="18"/>
        <v>rokprognozy=2041 i lp=780</v>
      </c>
      <c r="AH88" s="34" t="str">
        <f t="shared" si="18"/>
        <v>rokprognozy=2042 i lp=780</v>
      </c>
    </row>
    <row r="89" spans="1:34">
      <c r="A89" s="33">
        <v>790</v>
      </c>
      <c r="B89" s="33">
        <v>13</v>
      </c>
      <c r="C89" s="34" t="s">
        <v>140</v>
      </c>
      <c r="D89" s="34" t="str">
        <f t="shared" si="17"/>
        <v>rokprognozy=2013 i lp=790</v>
      </c>
      <c r="E89" s="34" t="str">
        <f t="shared" si="19"/>
        <v>rokprognozy=2013 i lp=790</v>
      </c>
      <c r="F89" s="34" t="str">
        <f t="shared" si="19"/>
        <v>rokprognozy=2014 i lp=790</v>
      </c>
      <c r="G89" s="34" t="str">
        <f t="shared" si="19"/>
        <v>rokprognozy=2015 i lp=790</v>
      </c>
      <c r="H89" s="34" t="str">
        <f t="shared" si="19"/>
        <v>rokprognozy=2016 i lp=790</v>
      </c>
      <c r="I89" s="34" t="str">
        <f t="shared" si="19"/>
        <v>rokprognozy=2017 i lp=790</v>
      </c>
      <c r="J89" s="34" t="str">
        <f t="shared" si="19"/>
        <v>rokprognozy=2018 i lp=790</v>
      </c>
      <c r="K89" s="34" t="str">
        <f t="shared" si="19"/>
        <v>rokprognozy=2019 i lp=790</v>
      </c>
      <c r="L89" s="34" t="str">
        <f t="shared" si="19"/>
        <v>rokprognozy=2020 i lp=790</v>
      </c>
      <c r="M89" s="34" t="str">
        <f t="shared" si="19"/>
        <v>rokprognozy=2021 i lp=790</v>
      </c>
      <c r="N89" s="34" t="str">
        <f t="shared" si="20"/>
        <v>rokprognozy=2022 i lp=790</v>
      </c>
      <c r="O89" s="34" t="str">
        <f t="shared" si="20"/>
        <v>rokprognozy=2023 i lp=790</v>
      </c>
      <c r="P89" s="34" t="str">
        <f t="shared" si="20"/>
        <v>rokprognozy=2024 i lp=790</v>
      </c>
      <c r="Q89" s="34" t="str">
        <f t="shared" si="20"/>
        <v>rokprognozy=2025 i lp=790</v>
      </c>
      <c r="R89" s="34" t="str">
        <f t="shared" si="20"/>
        <v>rokprognozy=2026 i lp=790</v>
      </c>
      <c r="S89" s="34" t="str">
        <f t="shared" si="20"/>
        <v>rokprognozy=2027 i lp=790</v>
      </c>
      <c r="T89" s="34" t="str">
        <f t="shared" si="20"/>
        <v>rokprognozy=2028 i lp=790</v>
      </c>
      <c r="U89" s="34" t="str">
        <f t="shared" si="20"/>
        <v>rokprognozy=2029 i lp=790</v>
      </c>
      <c r="V89" s="34" t="str">
        <f t="shared" si="20"/>
        <v>rokprognozy=2030 i lp=790</v>
      </c>
      <c r="W89" s="34" t="str">
        <f t="shared" si="20"/>
        <v>rokprognozy=2031 i lp=790</v>
      </c>
      <c r="X89" s="34" t="str">
        <f t="shared" si="20"/>
        <v>rokprognozy=2032 i lp=790</v>
      </c>
      <c r="Y89" s="34" t="str">
        <f t="shared" si="20"/>
        <v>rokprognozy=2033 i lp=790</v>
      </c>
      <c r="Z89" s="34" t="str">
        <f t="shared" si="20"/>
        <v>rokprognozy=2034 i lp=790</v>
      </c>
      <c r="AA89" s="34" t="str">
        <f t="shared" si="20"/>
        <v>rokprognozy=2035 i lp=790</v>
      </c>
      <c r="AB89" s="34" t="str">
        <f t="shared" si="20"/>
        <v>rokprognozy=2036 i lp=790</v>
      </c>
      <c r="AC89" s="34" t="str">
        <f t="shared" si="20"/>
        <v>rokprognozy=2037 i lp=790</v>
      </c>
      <c r="AD89" s="34" t="str">
        <f t="shared" si="18"/>
        <v>rokprognozy=2038 i lp=790</v>
      </c>
      <c r="AE89" s="34" t="str">
        <f t="shared" si="18"/>
        <v>rokprognozy=2039 i lp=790</v>
      </c>
      <c r="AF89" s="34" t="str">
        <f t="shared" si="18"/>
        <v>rokprognozy=2040 i lp=790</v>
      </c>
      <c r="AG89" s="34" t="str">
        <f t="shared" si="18"/>
        <v>rokprognozy=2041 i lp=790</v>
      </c>
      <c r="AH89" s="34" t="str">
        <f t="shared" si="18"/>
        <v>rokprognozy=2042 i lp=790</v>
      </c>
    </row>
    <row r="90" spans="1:34">
      <c r="A90" s="33">
        <v>800</v>
      </c>
      <c r="B90" s="33">
        <v>13.1</v>
      </c>
      <c r="C90" s="34" t="s">
        <v>141</v>
      </c>
      <c r="D90" s="34" t="str">
        <f t="shared" si="17"/>
        <v>rokprognozy=2013 i lp=800</v>
      </c>
      <c r="E90" s="34" t="str">
        <f t="shared" si="19"/>
        <v>rokprognozy=2013 i lp=800</v>
      </c>
      <c r="F90" s="34" t="str">
        <f t="shared" si="19"/>
        <v>rokprognozy=2014 i lp=800</v>
      </c>
      <c r="G90" s="34" t="str">
        <f t="shared" si="19"/>
        <v>rokprognozy=2015 i lp=800</v>
      </c>
      <c r="H90" s="34" t="str">
        <f t="shared" si="19"/>
        <v>rokprognozy=2016 i lp=800</v>
      </c>
      <c r="I90" s="34" t="str">
        <f t="shared" si="19"/>
        <v>rokprognozy=2017 i lp=800</v>
      </c>
      <c r="J90" s="34" t="str">
        <f t="shared" si="19"/>
        <v>rokprognozy=2018 i lp=800</v>
      </c>
      <c r="K90" s="34" t="str">
        <f t="shared" si="19"/>
        <v>rokprognozy=2019 i lp=800</v>
      </c>
      <c r="L90" s="34" t="str">
        <f t="shared" si="19"/>
        <v>rokprognozy=2020 i lp=800</v>
      </c>
      <c r="M90" s="34" t="str">
        <f t="shared" si="19"/>
        <v>rokprognozy=2021 i lp=800</v>
      </c>
      <c r="N90" s="34" t="str">
        <f t="shared" si="20"/>
        <v>rokprognozy=2022 i lp=800</v>
      </c>
      <c r="O90" s="34" t="str">
        <f t="shared" si="20"/>
        <v>rokprognozy=2023 i lp=800</v>
      </c>
      <c r="P90" s="34" t="str">
        <f t="shared" si="20"/>
        <v>rokprognozy=2024 i lp=800</v>
      </c>
      <c r="Q90" s="34" t="str">
        <f t="shared" si="20"/>
        <v>rokprognozy=2025 i lp=800</v>
      </c>
      <c r="R90" s="34" t="str">
        <f t="shared" si="20"/>
        <v>rokprognozy=2026 i lp=800</v>
      </c>
      <c r="S90" s="34" t="str">
        <f t="shared" si="20"/>
        <v>rokprognozy=2027 i lp=800</v>
      </c>
      <c r="T90" s="34" t="str">
        <f t="shared" si="20"/>
        <v>rokprognozy=2028 i lp=800</v>
      </c>
      <c r="U90" s="34" t="str">
        <f t="shared" si="20"/>
        <v>rokprognozy=2029 i lp=800</v>
      </c>
      <c r="V90" s="34" t="str">
        <f t="shared" si="20"/>
        <v>rokprognozy=2030 i lp=800</v>
      </c>
      <c r="W90" s="34" t="str">
        <f t="shared" si="20"/>
        <v>rokprognozy=2031 i lp=800</v>
      </c>
      <c r="X90" s="34" t="str">
        <f t="shared" si="20"/>
        <v>rokprognozy=2032 i lp=800</v>
      </c>
      <c r="Y90" s="34" t="str">
        <f t="shared" si="20"/>
        <v>rokprognozy=2033 i lp=800</v>
      </c>
      <c r="Z90" s="34" t="str">
        <f t="shared" si="20"/>
        <v>rokprognozy=2034 i lp=800</v>
      </c>
      <c r="AA90" s="34" t="str">
        <f t="shared" si="20"/>
        <v>rokprognozy=2035 i lp=800</v>
      </c>
      <c r="AB90" s="34" t="str">
        <f t="shared" si="20"/>
        <v>rokprognozy=2036 i lp=800</v>
      </c>
      <c r="AC90" s="34" t="str">
        <f t="shared" si="20"/>
        <v>rokprognozy=2037 i lp=800</v>
      </c>
      <c r="AD90" s="34" t="str">
        <f t="shared" si="18"/>
        <v>rokprognozy=2038 i lp=800</v>
      </c>
      <c r="AE90" s="34" t="str">
        <f t="shared" si="18"/>
        <v>rokprognozy=2039 i lp=800</v>
      </c>
      <c r="AF90" s="34" t="str">
        <f t="shared" si="18"/>
        <v>rokprognozy=2040 i lp=800</v>
      </c>
      <c r="AG90" s="34" t="str">
        <f t="shared" si="18"/>
        <v>rokprognozy=2041 i lp=800</v>
      </c>
      <c r="AH90" s="34" t="str">
        <f t="shared" si="18"/>
        <v>rokprognozy=2042 i lp=800</v>
      </c>
    </row>
    <row r="91" spans="1:34">
      <c r="A91" s="33">
        <v>810</v>
      </c>
      <c r="B91" s="33">
        <v>13.2</v>
      </c>
      <c r="C91" s="34" t="s">
        <v>142</v>
      </c>
      <c r="D91" s="34" t="str">
        <f t="shared" si="17"/>
        <v>rokprognozy=2013 i lp=810</v>
      </c>
      <c r="E91" s="34" t="str">
        <f t="shared" si="19"/>
        <v>rokprognozy=2013 i lp=810</v>
      </c>
      <c r="F91" s="34" t="str">
        <f t="shared" si="19"/>
        <v>rokprognozy=2014 i lp=810</v>
      </c>
      <c r="G91" s="34" t="str">
        <f t="shared" si="19"/>
        <v>rokprognozy=2015 i lp=810</v>
      </c>
      <c r="H91" s="34" t="str">
        <f t="shared" si="19"/>
        <v>rokprognozy=2016 i lp=810</v>
      </c>
      <c r="I91" s="34" t="str">
        <f t="shared" si="19"/>
        <v>rokprognozy=2017 i lp=810</v>
      </c>
      <c r="J91" s="34" t="str">
        <f t="shared" si="19"/>
        <v>rokprognozy=2018 i lp=810</v>
      </c>
      <c r="K91" s="34" t="str">
        <f t="shared" si="19"/>
        <v>rokprognozy=2019 i lp=810</v>
      </c>
      <c r="L91" s="34" t="str">
        <f t="shared" si="19"/>
        <v>rokprognozy=2020 i lp=810</v>
      </c>
      <c r="M91" s="34" t="str">
        <f t="shared" si="19"/>
        <v>rokprognozy=2021 i lp=810</v>
      </c>
      <c r="N91" s="34" t="str">
        <f t="shared" si="20"/>
        <v>rokprognozy=2022 i lp=810</v>
      </c>
      <c r="O91" s="34" t="str">
        <f t="shared" si="20"/>
        <v>rokprognozy=2023 i lp=810</v>
      </c>
      <c r="P91" s="34" t="str">
        <f t="shared" si="20"/>
        <v>rokprognozy=2024 i lp=810</v>
      </c>
      <c r="Q91" s="34" t="str">
        <f t="shared" si="20"/>
        <v>rokprognozy=2025 i lp=810</v>
      </c>
      <c r="R91" s="34" t="str">
        <f t="shared" si="20"/>
        <v>rokprognozy=2026 i lp=810</v>
      </c>
      <c r="S91" s="34" t="str">
        <f t="shared" si="20"/>
        <v>rokprognozy=2027 i lp=810</v>
      </c>
      <c r="T91" s="34" t="str">
        <f t="shared" si="20"/>
        <v>rokprognozy=2028 i lp=810</v>
      </c>
      <c r="U91" s="34" t="str">
        <f t="shared" si="20"/>
        <v>rokprognozy=2029 i lp=810</v>
      </c>
      <c r="V91" s="34" t="str">
        <f t="shared" si="20"/>
        <v>rokprognozy=2030 i lp=810</v>
      </c>
      <c r="W91" s="34" t="str">
        <f t="shared" si="20"/>
        <v>rokprognozy=2031 i lp=810</v>
      </c>
      <c r="X91" s="34" t="str">
        <f t="shared" si="20"/>
        <v>rokprognozy=2032 i lp=810</v>
      </c>
      <c r="Y91" s="34" t="str">
        <f t="shared" si="20"/>
        <v>rokprognozy=2033 i lp=810</v>
      </c>
      <c r="Z91" s="34" t="str">
        <f t="shared" si="20"/>
        <v>rokprognozy=2034 i lp=810</v>
      </c>
      <c r="AA91" s="34" t="str">
        <f t="shared" si="20"/>
        <v>rokprognozy=2035 i lp=810</v>
      </c>
      <c r="AB91" s="34" t="str">
        <f t="shared" si="20"/>
        <v>rokprognozy=2036 i lp=810</v>
      </c>
      <c r="AC91" s="34" t="str">
        <f t="shared" si="20"/>
        <v>rokprognozy=2037 i lp=810</v>
      </c>
      <c r="AD91" s="34" t="str">
        <f t="shared" si="18"/>
        <v>rokprognozy=2038 i lp=810</v>
      </c>
      <c r="AE91" s="34" t="str">
        <f t="shared" si="18"/>
        <v>rokprognozy=2039 i lp=810</v>
      </c>
      <c r="AF91" s="34" t="str">
        <f t="shared" si="18"/>
        <v>rokprognozy=2040 i lp=810</v>
      </c>
      <c r="AG91" s="34" t="str">
        <f t="shared" si="18"/>
        <v>rokprognozy=2041 i lp=810</v>
      </c>
      <c r="AH91" s="34" t="str">
        <f t="shared" si="18"/>
        <v>rokprognozy=2042 i lp=810</v>
      </c>
    </row>
    <row r="92" spans="1:34">
      <c r="A92" s="33">
        <v>820</v>
      </c>
      <c r="B92" s="33">
        <v>13.3</v>
      </c>
      <c r="C92" s="34" t="s">
        <v>143</v>
      </c>
      <c r="D92" s="34" t="str">
        <f t="shared" si="17"/>
        <v>rokprognozy=2013 i lp=820</v>
      </c>
      <c r="E92" s="34" t="str">
        <f t="shared" si="19"/>
        <v>rokprognozy=2013 i lp=820</v>
      </c>
      <c r="F92" s="34" t="str">
        <f t="shared" si="19"/>
        <v>rokprognozy=2014 i lp=820</v>
      </c>
      <c r="G92" s="34" t="str">
        <f t="shared" si="19"/>
        <v>rokprognozy=2015 i lp=820</v>
      </c>
      <c r="H92" s="34" t="str">
        <f t="shared" si="19"/>
        <v>rokprognozy=2016 i lp=820</v>
      </c>
      <c r="I92" s="34" t="str">
        <f t="shared" si="19"/>
        <v>rokprognozy=2017 i lp=820</v>
      </c>
      <c r="J92" s="34" t="str">
        <f t="shared" si="19"/>
        <v>rokprognozy=2018 i lp=820</v>
      </c>
      <c r="K92" s="34" t="str">
        <f t="shared" si="19"/>
        <v>rokprognozy=2019 i lp=820</v>
      </c>
      <c r="L92" s="34" t="str">
        <f t="shared" si="19"/>
        <v>rokprognozy=2020 i lp=820</v>
      </c>
      <c r="M92" s="34" t="str">
        <f t="shared" si="19"/>
        <v>rokprognozy=2021 i lp=820</v>
      </c>
      <c r="N92" s="34" t="str">
        <f t="shared" si="20"/>
        <v>rokprognozy=2022 i lp=820</v>
      </c>
      <c r="O92" s="34" t="str">
        <f t="shared" si="20"/>
        <v>rokprognozy=2023 i lp=820</v>
      </c>
      <c r="P92" s="34" t="str">
        <f t="shared" si="20"/>
        <v>rokprognozy=2024 i lp=820</v>
      </c>
      <c r="Q92" s="34" t="str">
        <f t="shared" si="20"/>
        <v>rokprognozy=2025 i lp=820</v>
      </c>
      <c r="R92" s="34" t="str">
        <f t="shared" si="20"/>
        <v>rokprognozy=2026 i lp=820</v>
      </c>
      <c r="S92" s="34" t="str">
        <f t="shared" si="20"/>
        <v>rokprognozy=2027 i lp=820</v>
      </c>
      <c r="T92" s="34" t="str">
        <f t="shared" si="20"/>
        <v>rokprognozy=2028 i lp=820</v>
      </c>
      <c r="U92" s="34" t="str">
        <f t="shared" si="20"/>
        <v>rokprognozy=2029 i lp=820</v>
      </c>
      <c r="V92" s="34" t="str">
        <f t="shared" si="20"/>
        <v>rokprognozy=2030 i lp=820</v>
      </c>
      <c r="W92" s="34" t="str">
        <f t="shared" si="20"/>
        <v>rokprognozy=2031 i lp=820</v>
      </c>
      <c r="X92" s="34" t="str">
        <f t="shared" si="20"/>
        <v>rokprognozy=2032 i lp=820</v>
      </c>
      <c r="Y92" s="34" t="str">
        <f t="shared" si="20"/>
        <v>rokprognozy=2033 i lp=820</v>
      </c>
      <c r="Z92" s="34" t="str">
        <f t="shared" si="20"/>
        <v>rokprognozy=2034 i lp=820</v>
      </c>
      <c r="AA92" s="34" t="str">
        <f t="shared" si="20"/>
        <v>rokprognozy=2035 i lp=820</v>
      </c>
      <c r="AB92" s="34" t="str">
        <f t="shared" si="20"/>
        <v>rokprognozy=2036 i lp=820</v>
      </c>
      <c r="AC92" s="34" t="str">
        <f t="shared" si="20"/>
        <v>rokprognozy=2037 i lp=820</v>
      </c>
      <c r="AD92" s="34" t="str">
        <f t="shared" ref="AD92:AH104" si="21">+"rokprognozy="&amp;AD$9&amp;" i lp="&amp;$A92</f>
        <v>rokprognozy=2038 i lp=820</v>
      </c>
      <c r="AE92" s="34" t="str">
        <f t="shared" si="21"/>
        <v>rokprognozy=2039 i lp=820</v>
      </c>
      <c r="AF92" s="34" t="str">
        <f t="shared" si="21"/>
        <v>rokprognozy=2040 i lp=820</v>
      </c>
      <c r="AG92" s="34" t="str">
        <f t="shared" si="21"/>
        <v>rokprognozy=2041 i lp=820</v>
      </c>
      <c r="AH92" s="34" t="str">
        <f t="shared" si="21"/>
        <v>rokprognozy=2042 i lp=820</v>
      </c>
    </row>
    <row r="93" spans="1:34">
      <c r="A93" s="33">
        <v>830</v>
      </c>
      <c r="B93" s="33">
        <v>13.4</v>
      </c>
      <c r="C93" s="34" t="s">
        <v>144</v>
      </c>
      <c r="D93" s="34" t="str">
        <f t="shared" si="17"/>
        <v>rokprognozy=2013 i lp=830</v>
      </c>
      <c r="E93" s="34" t="str">
        <f t="shared" si="19"/>
        <v>rokprognozy=2013 i lp=830</v>
      </c>
      <c r="F93" s="34" t="str">
        <f t="shared" si="19"/>
        <v>rokprognozy=2014 i lp=830</v>
      </c>
      <c r="G93" s="34" t="str">
        <f t="shared" si="19"/>
        <v>rokprognozy=2015 i lp=830</v>
      </c>
      <c r="H93" s="34" t="str">
        <f t="shared" si="19"/>
        <v>rokprognozy=2016 i lp=830</v>
      </c>
      <c r="I93" s="34" t="str">
        <f t="shared" si="19"/>
        <v>rokprognozy=2017 i lp=830</v>
      </c>
      <c r="J93" s="34" t="str">
        <f t="shared" si="19"/>
        <v>rokprognozy=2018 i lp=830</v>
      </c>
      <c r="K93" s="34" t="str">
        <f t="shared" si="19"/>
        <v>rokprognozy=2019 i lp=830</v>
      </c>
      <c r="L93" s="34" t="str">
        <f t="shared" si="19"/>
        <v>rokprognozy=2020 i lp=830</v>
      </c>
      <c r="M93" s="34" t="str">
        <f t="shared" si="19"/>
        <v>rokprognozy=2021 i lp=830</v>
      </c>
      <c r="N93" s="34" t="str">
        <f t="shared" si="20"/>
        <v>rokprognozy=2022 i lp=830</v>
      </c>
      <c r="O93" s="34" t="str">
        <f t="shared" si="20"/>
        <v>rokprognozy=2023 i lp=830</v>
      </c>
      <c r="P93" s="34" t="str">
        <f t="shared" si="20"/>
        <v>rokprognozy=2024 i lp=830</v>
      </c>
      <c r="Q93" s="34" t="str">
        <f t="shared" si="20"/>
        <v>rokprognozy=2025 i lp=830</v>
      </c>
      <c r="R93" s="34" t="str">
        <f t="shared" si="20"/>
        <v>rokprognozy=2026 i lp=830</v>
      </c>
      <c r="S93" s="34" t="str">
        <f t="shared" si="20"/>
        <v>rokprognozy=2027 i lp=830</v>
      </c>
      <c r="T93" s="34" t="str">
        <f t="shared" si="20"/>
        <v>rokprognozy=2028 i lp=830</v>
      </c>
      <c r="U93" s="34" t="str">
        <f t="shared" si="20"/>
        <v>rokprognozy=2029 i lp=830</v>
      </c>
      <c r="V93" s="34" t="str">
        <f t="shared" si="20"/>
        <v>rokprognozy=2030 i lp=830</v>
      </c>
      <c r="W93" s="34" t="str">
        <f t="shared" si="20"/>
        <v>rokprognozy=2031 i lp=830</v>
      </c>
      <c r="X93" s="34" t="str">
        <f t="shared" si="20"/>
        <v>rokprognozy=2032 i lp=830</v>
      </c>
      <c r="Y93" s="34" t="str">
        <f t="shared" si="20"/>
        <v>rokprognozy=2033 i lp=830</v>
      </c>
      <c r="Z93" s="34" t="str">
        <f t="shared" si="20"/>
        <v>rokprognozy=2034 i lp=830</v>
      </c>
      <c r="AA93" s="34" t="str">
        <f t="shared" si="20"/>
        <v>rokprognozy=2035 i lp=830</v>
      </c>
      <c r="AB93" s="34" t="str">
        <f t="shared" si="20"/>
        <v>rokprognozy=2036 i lp=830</v>
      </c>
      <c r="AC93" s="34" t="str">
        <f t="shared" si="20"/>
        <v>rokprognozy=2037 i lp=830</v>
      </c>
      <c r="AD93" s="34" t="str">
        <f t="shared" si="21"/>
        <v>rokprognozy=2038 i lp=830</v>
      </c>
      <c r="AE93" s="34" t="str">
        <f t="shared" si="21"/>
        <v>rokprognozy=2039 i lp=830</v>
      </c>
      <c r="AF93" s="34" t="str">
        <f t="shared" si="21"/>
        <v>rokprognozy=2040 i lp=830</v>
      </c>
      <c r="AG93" s="34" t="str">
        <f t="shared" si="21"/>
        <v>rokprognozy=2041 i lp=830</v>
      </c>
      <c r="AH93" s="34" t="str">
        <f t="shared" si="21"/>
        <v>rokprognozy=2042 i lp=830</v>
      </c>
    </row>
    <row r="94" spans="1:34">
      <c r="A94" s="33">
        <v>840</v>
      </c>
      <c r="B94" s="33">
        <v>13.5</v>
      </c>
      <c r="C94" s="34" t="s">
        <v>145</v>
      </c>
      <c r="D94" s="34" t="str">
        <f t="shared" si="17"/>
        <v>rokprognozy=2013 i lp=840</v>
      </c>
      <c r="E94" s="34" t="str">
        <f t="shared" si="19"/>
        <v>rokprognozy=2013 i lp=840</v>
      </c>
      <c r="F94" s="34" t="str">
        <f t="shared" si="19"/>
        <v>rokprognozy=2014 i lp=840</v>
      </c>
      <c r="G94" s="34" t="str">
        <f t="shared" si="19"/>
        <v>rokprognozy=2015 i lp=840</v>
      </c>
      <c r="H94" s="34" t="str">
        <f t="shared" si="19"/>
        <v>rokprognozy=2016 i lp=840</v>
      </c>
      <c r="I94" s="34" t="str">
        <f t="shared" si="19"/>
        <v>rokprognozy=2017 i lp=840</v>
      </c>
      <c r="J94" s="34" t="str">
        <f t="shared" si="19"/>
        <v>rokprognozy=2018 i lp=840</v>
      </c>
      <c r="K94" s="34" t="str">
        <f t="shared" si="19"/>
        <v>rokprognozy=2019 i lp=840</v>
      </c>
      <c r="L94" s="34" t="str">
        <f t="shared" si="19"/>
        <v>rokprognozy=2020 i lp=840</v>
      </c>
      <c r="M94" s="34" t="str">
        <f t="shared" si="19"/>
        <v>rokprognozy=2021 i lp=840</v>
      </c>
      <c r="N94" s="34" t="str">
        <f t="shared" si="20"/>
        <v>rokprognozy=2022 i lp=840</v>
      </c>
      <c r="O94" s="34" t="str">
        <f t="shared" si="20"/>
        <v>rokprognozy=2023 i lp=840</v>
      </c>
      <c r="P94" s="34" t="str">
        <f t="shared" si="20"/>
        <v>rokprognozy=2024 i lp=840</v>
      </c>
      <c r="Q94" s="34" t="str">
        <f t="shared" si="20"/>
        <v>rokprognozy=2025 i lp=840</v>
      </c>
      <c r="R94" s="34" t="str">
        <f t="shared" si="20"/>
        <v>rokprognozy=2026 i lp=840</v>
      </c>
      <c r="S94" s="34" t="str">
        <f t="shared" si="20"/>
        <v>rokprognozy=2027 i lp=840</v>
      </c>
      <c r="T94" s="34" t="str">
        <f t="shared" si="20"/>
        <v>rokprognozy=2028 i lp=840</v>
      </c>
      <c r="U94" s="34" t="str">
        <f t="shared" si="20"/>
        <v>rokprognozy=2029 i lp=840</v>
      </c>
      <c r="V94" s="34" t="str">
        <f t="shared" si="20"/>
        <v>rokprognozy=2030 i lp=840</v>
      </c>
      <c r="W94" s="34" t="str">
        <f t="shared" si="20"/>
        <v>rokprognozy=2031 i lp=840</v>
      </c>
      <c r="X94" s="34" t="str">
        <f t="shared" si="20"/>
        <v>rokprognozy=2032 i lp=840</v>
      </c>
      <c r="Y94" s="34" t="str">
        <f t="shared" si="20"/>
        <v>rokprognozy=2033 i lp=840</v>
      </c>
      <c r="Z94" s="34" t="str">
        <f t="shared" si="20"/>
        <v>rokprognozy=2034 i lp=840</v>
      </c>
      <c r="AA94" s="34" t="str">
        <f t="shared" si="20"/>
        <v>rokprognozy=2035 i lp=840</v>
      </c>
      <c r="AB94" s="34" t="str">
        <f t="shared" si="20"/>
        <v>rokprognozy=2036 i lp=840</v>
      </c>
      <c r="AC94" s="34" t="str">
        <f t="shared" si="20"/>
        <v>rokprognozy=2037 i lp=840</v>
      </c>
      <c r="AD94" s="34" t="str">
        <f t="shared" si="21"/>
        <v>rokprognozy=2038 i lp=840</v>
      </c>
      <c r="AE94" s="34" t="str">
        <f t="shared" si="21"/>
        <v>rokprognozy=2039 i lp=840</v>
      </c>
      <c r="AF94" s="34" t="str">
        <f t="shared" si="21"/>
        <v>rokprognozy=2040 i lp=840</v>
      </c>
      <c r="AG94" s="34" t="str">
        <f t="shared" si="21"/>
        <v>rokprognozy=2041 i lp=840</v>
      </c>
      <c r="AH94" s="34" t="str">
        <f t="shared" si="21"/>
        <v>rokprognozy=2042 i lp=840</v>
      </c>
    </row>
    <row r="95" spans="1:34">
      <c r="A95" s="33">
        <v>850</v>
      </c>
      <c r="B95" s="33">
        <v>13.6</v>
      </c>
      <c r="C95" s="34" t="s">
        <v>146</v>
      </c>
      <c r="D95" s="34" t="str">
        <f t="shared" si="17"/>
        <v>rokprognozy=2013 i lp=850</v>
      </c>
      <c r="E95" s="34" t="str">
        <f t="shared" si="19"/>
        <v>rokprognozy=2013 i lp=850</v>
      </c>
      <c r="F95" s="34" t="str">
        <f t="shared" si="19"/>
        <v>rokprognozy=2014 i lp=850</v>
      </c>
      <c r="G95" s="34" t="str">
        <f t="shared" si="19"/>
        <v>rokprognozy=2015 i lp=850</v>
      </c>
      <c r="H95" s="34" t="str">
        <f t="shared" si="19"/>
        <v>rokprognozy=2016 i lp=850</v>
      </c>
      <c r="I95" s="34" t="str">
        <f t="shared" si="19"/>
        <v>rokprognozy=2017 i lp=850</v>
      </c>
      <c r="J95" s="34" t="str">
        <f t="shared" si="19"/>
        <v>rokprognozy=2018 i lp=850</v>
      </c>
      <c r="K95" s="34" t="str">
        <f t="shared" si="19"/>
        <v>rokprognozy=2019 i lp=850</v>
      </c>
      <c r="L95" s="34" t="str">
        <f t="shared" si="19"/>
        <v>rokprognozy=2020 i lp=850</v>
      </c>
      <c r="M95" s="34" t="str">
        <f t="shared" si="19"/>
        <v>rokprognozy=2021 i lp=850</v>
      </c>
      <c r="N95" s="34" t="str">
        <f t="shared" si="20"/>
        <v>rokprognozy=2022 i lp=850</v>
      </c>
      <c r="O95" s="34" t="str">
        <f t="shared" si="20"/>
        <v>rokprognozy=2023 i lp=850</v>
      </c>
      <c r="P95" s="34" t="str">
        <f t="shared" si="20"/>
        <v>rokprognozy=2024 i lp=850</v>
      </c>
      <c r="Q95" s="34" t="str">
        <f t="shared" si="20"/>
        <v>rokprognozy=2025 i lp=850</v>
      </c>
      <c r="R95" s="34" t="str">
        <f t="shared" si="20"/>
        <v>rokprognozy=2026 i lp=850</v>
      </c>
      <c r="S95" s="34" t="str">
        <f t="shared" si="20"/>
        <v>rokprognozy=2027 i lp=850</v>
      </c>
      <c r="T95" s="34" t="str">
        <f t="shared" si="20"/>
        <v>rokprognozy=2028 i lp=850</v>
      </c>
      <c r="U95" s="34" t="str">
        <f t="shared" si="20"/>
        <v>rokprognozy=2029 i lp=850</v>
      </c>
      <c r="V95" s="34" t="str">
        <f t="shared" si="20"/>
        <v>rokprognozy=2030 i lp=850</v>
      </c>
      <c r="W95" s="34" t="str">
        <f t="shared" si="20"/>
        <v>rokprognozy=2031 i lp=850</v>
      </c>
      <c r="X95" s="34" t="str">
        <f t="shared" si="20"/>
        <v>rokprognozy=2032 i lp=850</v>
      </c>
      <c r="Y95" s="34" t="str">
        <f t="shared" si="20"/>
        <v>rokprognozy=2033 i lp=850</v>
      </c>
      <c r="Z95" s="34" t="str">
        <f t="shared" si="20"/>
        <v>rokprognozy=2034 i lp=850</v>
      </c>
      <c r="AA95" s="34" t="str">
        <f t="shared" si="20"/>
        <v>rokprognozy=2035 i lp=850</v>
      </c>
      <c r="AB95" s="34" t="str">
        <f t="shared" si="20"/>
        <v>rokprognozy=2036 i lp=850</v>
      </c>
      <c r="AC95" s="34" t="str">
        <f t="shared" si="20"/>
        <v>rokprognozy=2037 i lp=850</v>
      </c>
      <c r="AD95" s="34" t="str">
        <f t="shared" si="21"/>
        <v>rokprognozy=2038 i lp=850</v>
      </c>
      <c r="AE95" s="34" t="str">
        <f t="shared" si="21"/>
        <v>rokprognozy=2039 i lp=850</v>
      </c>
      <c r="AF95" s="34" t="str">
        <f t="shared" si="21"/>
        <v>rokprognozy=2040 i lp=850</v>
      </c>
      <c r="AG95" s="34" t="str">
        <f t="shared" si="21"/>
        <v>rokprognozy=2041 i lp=850</v>
      </c>
      <c r="AH95" s="34" t="str">
        <f t="shared" si="21"/>
        <v>rokprognozy=2042 i lp=850</v>
      </c>
    </row>
    <row r="96" spans="1:34">
      <c r="A96" s="33">
        <v>860</v>
      </c>
      <c r="B96" s="33">
        <v>13.7</v>
      </c>
      <c r="C96" s="34" t="s">
        <v>147</v>
      </c>
      <c r="D96" s="34" t="str">
        <f t="shared" si="17"/>
        <v>rokprognozy=2013 i lp=860</v>
      </c>
      <c r="E96" s="34" t="str">
        <f t="shared" si="19"/>
        <v>rokprognozy=2013 i lp=860</v>
      </c>
      <c r="F96" s="34" t="str">
        <f t="shared" si="19"/>
        <v>rokprognozy=2014 i lp=860</v>
      </c>
      <c r="G96" s="34" t="str">
        <f t="shared" si="19"/>
        <v>rokprognozy=2015 i lp=860</v>
      </c>
      <c r="H96" s="34" t="str">
        <f t="shared" si="19"/>
        <v>rokprognozy=2016 i lp=860</v>
      </c>
      <c r="I96" s="34" t="str">
        <f t="shared" si="19"/>
        <v>rokprognozy=2017 i lp=860</v>
      </c>
      <c r="J96" s="34" t="str">
        <f t="shared" si="19"/>
        <v>rokprognozy=2018 i lp=860</v>
      </c>
      <c r="K96" s="34" t="str">
        <f t="shared" si="19"/>
        <v>rokprognozy=2019 i lp=860</v>
      </c>
      <c r="L96" s="34" t="str">
        <f t="shared" si="19"/>
        <v>rokprognozy=2020 i lp=860</v>
      </c>
      <c r="M96" s="34" t="str">
        <f t="shared" si="19"/>
        <v>rokprognozy=2021 i lp=860</v>
      </c>
      <c r="N96" s="34" t="str">
        <f t="shared" si="20"/>
        <v>rokprognozy=2022 i lp=860</v>
      </c>
      <c r="O96" s="34" t="str">
        <f t="shared" si="20"/>
        <v>rokprognozy=2023 i lp=860</v>
      </c>
      <c r="P96" s="34" t="str">
        <f t="shared" si="20"/>
        <v>rokprognozy=2024 i lp=860</v>
      </c>
      <c r="Q96" s="34" t="str">
        <f t="shared" si="20"/>
        <v>rokprognozy=2025 i lp=860</v>
      </c>
      <c r="R96" s="34" t="str">
        <f t="shared" si="20"/>
        <v>rokprognozy=2026 i lp=860</v>
      </c>
      <c r="S96" s="34" t="str">
        <f t="shared" si="20"/>
        <v>rokprognozy=2027 i lp=860</v>
      </c>
      <c r="T96" s="34" t="str">
        <f t="shared" si="20"/>
        <v>rokprognozy=2028 i lp=860</v>
      </c>
      <c r="U96" s="34" t="str">
        <f t="shared" si="20"/>
        <v>rokprognozy=2029 i lp=860</v>
      </c>
      <c r="V96" s="34" t="str">
        <f t="shared" si="20"/>
        <v>rokprognozy=2030 i lp=860</v>
      </c>
      <c r="W96" s="34" t="str">
        <f t="shared" si="20"/>
        <v>rokprognozy=2031 i lp=860</v>
      </c>
      <c r="X96" s="34" t="str">
        <f t="shared" si="20"/>
        <v>rokprognozy=2032 i lp=860</v>
      </c>
      <c r="Y96" s="34" t="str">
        <f t="shared" si="20"/>
        <v>rokprognozy=2033 i lp=860</v>
      </c>
      <c r="Z96" s="34" t="str">
        <f t="shared" si="20"/>
        <v>rokprognozy=2034 i lp=860</v>
      </c>
      <c r="AA96" s="34" t="str">
        <f t="shared" si="20"/>
        <v>rokprognozy=2035 i lp=860</v>
      </c>
      <c r="AB96" s="34" t="str">
        <f t="shared" si="20"/>
        <v>rokprognozy=2036 i lp=860</v>
      </c>
      <c r="AC96" s="34" t="str">
        <f t="shared" si="20"/>
        <v>rokprognozy=2037 i lp=860</v>
      </c>
      <c r="AD96" s="34" t="str">
        <f t="shared" si="21"/>
        <v>rokprognozy=2038 i lp=860</v>
      </c>
      <c r="AE96" s="34" t="str">
        <f t="shared" si="21"/>
        <v>rokprognozy=2039 i lp=860</v>
      </c>
      <c r="AF96" s="34" t="str">
        <f t="shared" si="21"/>
        <v>rokprognozy=2040 i lp=860</v>
      </c>
      <c r="AG96" s="34" t="str">
        <f t="shared" si="21"/>
        <v>rokprognozy=2041 i lp=860</v>
      </c>
      <c r="AH96" s="34" t="str">
        <f t="shared" si="21"/>
        <v>rokprognozy=2042 i lp=860</v>
      </c>
    </row>
    <row r="97" spans="1:34">
      <c r="A97" s="33">
        <v>870</v>
      </c>
      <c r="B97" s="33">
        <v>14</v>
      </c>
      <c r="C97" s="34" t="s">
        <v>148</v>
      </c>
      <c r="D97" s="34" t="str">
        <f t="shared" si="17"/>
        <v>rokprognozy=2013 i lp=870</v>
      </c>
      <c r="E97" s="34" t="str">
        <f t="shared" si="19"/>
        <v>rokprognozy=2013 i lp=870</v>
      </c>
      <c r="F97" s="34" t="str">
        <f t="shared" si="19"/>
        <v>rokprognozy=2014 i lp=870</v>
      </c>
      <c r="G97" s="34" t="str">
        <f t="shared" si="19"/>
        <v>rokprognozy=2015 i lp=870</v>
      </c>
      <c r="H97" s="34" t="str">
        <f t="shared" si="19"/>
        <v>rokprognozy=2016 i lp=870</v>
      </c>
      <c r="I97" s="34" t="str">
        <f t="shared" si="19"/>
        <v>rokprognozy=2017 i lp=870</v>
      </c>
      <c r="J97" s="34" t="str">
        <f t="shared" si="19"/>
        <v>rokprognozy=2018 i lp=870</v>
      </c>
      <c r="K97" s="34" t="str">
        <f t="shared" si="19"/>
        <v>rokprognozy=2019 i lp=870</v>
      </c>
      <c r="L97" s="34" t="str">
        <f t="shared" si="19"/>
        <v>rokprognozy=2020 i lp=870</v>
      </c>
      <c r="M97" s="34" t="str">
        <f t="shared" si="19"/>
        <v>rokprognozy=2021 i lp=870</v>
      </c>
      <c r="N97" s="34" t="str">
        <f t="shared" si="20"/>
        <v>rokprognozy=2022 i lp=870</v>
      </c>
      <c r="O97" s="34" t="str">
        <f t="shared" si="20"/>
        <v>rokprognozy=2023 i lp=870</v>
      </c>
      <c r="P97" s="34" t="str">
        <f t="shared" si="20"/>
        <v>rokprognozy=2024 i lp=870</v>
      </c>
      <c r="Q97" s="34" t="str">
        <f t="shared" si="20"/>
        <v>rokprognozy=2025 i lp=870</v>
      </c>
      <c r="R97" s="34" t="str">
        <f t="shared" si="20"/>
        <v>rokprognozy=2026 i lp=870</v>
      </c>
      <c r="S97" s="34" t="str">
        <f t="shared" si="20"/>
        <v>rokprognozy=2027 i lp=870</v>
      </c>
      <c r="T97" s="34" t="str">
        <f t="shared" si="20"/>
        <v>rokprognozy=2028 i lp=870</v>
      </c>
      <c r="U97" s="34" t="str">
        <f t="shared" si="20"/>
        <v>rokprognozy=2029 i lp=870</v>
      </c>
      <c r="V97" s="34" t="str">
        <f t="shared" si="20"/>
        <v>rokprognozy=2030 i lp=870</v>
      </c>
      <c r="W97" s="34" t="str">
        <f t="shared" si="20"/>
        <v>rokprognozy=2031 i lp=870</v>
      </c>
      <c r="X97" s="34" t="str">
        <f t="shared" si="20"/>
        <v>rokprognozy=2032 i lp=870</v>
      </c>
      <c r="Y97" s="34" t="str">
        <f t="shared" si="20"/>
        <v>rokprognozy=2033 i lp=870</v>
      </c>
      <c r="Z97" s="34" t="str">
        <f t="shared" si="20"/>
        <v>rokprognozy=2034 i lp=870</v>
      </c>
      <c r="AA97" s="34" t="str">
        <f t="shared" si="20"/>
        <v>rokprognozy=2035 i lp=870</v>
      </c>
      <c r="AB97" s="34" t="str">
        <f t="shared" si="20"/>
        <v>rokprognozy=2036 i lp=870</v>
      </c>
      <c r="AC97" s="34" t="str">
        <f t="shared" si="20"/>
        <v>rokprognozy=2037 i lp=870</v>
      </c>
      <c r="AD97" s="34" t="str">
        <f t="shared" si="21"/>
        <v>rokprognozy=2038 i lp=870</v>
      </c>
      <c r="AE97" s="34" t="str">
        <f t="shared" si="21"/>
        <v>rokprognozy=2039 i lp=870</v>
      </c>
      <c r="AF97" s="34" t="str">
        <f t="shared" si="21"/>
        <v>rokprognozy=2040 i lp=870</v>
      </c>
      <c r="AG97" s="34" t="str">
        <f t="shared" si="21"/>
        <v>rokprognozy=2041 i lp=870</v>
      </c>
      <c r="AH97" s="34" t="str">
        <f t="shared" si="21"/>
        <v>rokprognozy=2042 i lp=870</v>
      </c>
    </row>
    <row r="98" spans="1:34">
      <c r="A98" s="33">
        <v>880</v>
      </c>
      <c r="B98" s="33">
        <v>14.1</v>
      </c>
      <c r="C98" s="34" t="s">
        <v>149</v>
      </c>
      <c r="D98" s="34" t="str">
        <f t="shared" si="17"/>
        <v>rokprognozy=2013 i lp=880</v>
      </c>
      <c r="E98" s="34" t="str">
        <f t="shared" si="19"/>
        <v>rokprognozy=2013 i lp=880</v>
      </c>
      <c r="F98" s="34" t="str">
        <f t="shared" si="19"/>
        <v>rokprognozy=2014 i lp=880</v>
      </c>
      <c r="G98" s="34" t="str">
        <f t="shared" si="19"/>
        <v>rokprognozy=2015 i lp=880</v>
      </c>
      <c r="H98" s="34" t="str">
        <f t="shared" si="19"/>
        <v>rokprognozy=2016 i lp=880</v>
      </c>
      <c r="I98" s="34" t="str">
        <f t="shared" si="19"/>
        <v>rokprognozy=2017 i lp=880</v>
      </c>
      <c r="J98" s="34" t="str">
        <f t="shared" si="19"/>
        <v>rokprognozy=2018 i lp=880</v>
      </c>
      <c r="K98" s="34" t="str">
        <f t="shared" si="19"/>
        <v>rokprognozy=2019 i lp=880</v>
      </c>
      <c r="L98" s="34" t="str">
        <f t="shared" si="19"/>
        <v>rokprognozy=2020 i lp=880</v>
      </c>
      <c r="M98" s="34" t="str">
        <f t="shared" si="19"/>
        <v>rokprognozy=2021 i lp=880</v>
      </c>
      <c r="N98" s="34" t="str">
        <f t="shared" si="20"/>
        <v>rokprognozy=2022 i lp=880</v>
      </c>
      <c r="O98" s="34" t="str">
        <f t="shared" si="20"/>
        <v>rokprognozy=2023 i lp=880</v>
      </c>
      <c r="P98" s="34" t="str">
        <f t="shared" si="20"/>
        <v>rokprognozy=2024 i lp=880</v>
      </c>
      <c r="Q98" s="34" t="str">
        <f t="shared" si="20"/>
        <v>rokprognozy=2025 i lp=880</v>
      </c>
      <c r="R98" s="34" t="str">
        <f t="shared" si="20"/>
        <v>rokprognozy=2026 i lp=880</v>
      </c>
      <c r="S98" s="34" t="str">
        <f t="shared" si="20"/>
        <v>rokprognozy=2027 i lp=880</v>
      </c>
      <c r="T98" s="34" t="str">
        <f t="shared" si="20"/>
        <v>rokprognozy=2028 i lp=880</v>
      </c>
      <c r="U98" s="34" t="str">
        <f t="shared" si="20"/>
        <v>rokprognozy=2029 i lp=880</v>
      </c>
      <c r="V98" s="34" t="str">
        <f t="shared" si="20"/>
        <v>rokprognozy=2030 i lp=880</v>
      </c>
      <c r="W98" s="34" t="str">
        <f t="shared" si="20"/>
        <v>rokprognozy=2031 i lp=880</v>
      </c>
      <c r="X98" s="34" t="str">
        <f t="shared" si="20"/>
        <v>rokprognozy=2032 i lp=880</v>
      </c>
      <c r="Y98" s="34" t="str">
        <f t="shared" si="20"/>
        <v>rokprognozy=2033 i lp=880</v>
      </c>
      <c r="Z98" s="34" t="str">
        <f t="shared" si="20"/>
        <v>rokprognozy=2034 i lp=880</v>
      </c>
      <c r="AA98" s="34" t="str">
        <f t="shared" si="20"/>
        <v>rokprognozy=2035 i lp=880</v>
      </c>
      <c r="AB98" s="34" t="str">
        <f t="shared" si="20"/>
        <v>rokprognozy=2036 i lp=880</v>
      </c>
      <c r="AC98" s="34" t="str">
        <f t="shared" si="20"/>
        <v>rokprognozy=2037 i lp=880</v>
      </c>
      <c r="AD98" s="34" t="str">
        <f t="shared" si="21"/>
        <v>rokprognozy=2038 i lp=880</v>
      </c>
      <c r="AE98" s="34" t="str">
        <f t="shared" si="21"/>
        <v>rokprognozy=2039 i lp=880</v>
      </c>
      <c r="AF98" s="34" t="str">
        <f t="shared" si="21"/>
        <v>rokprognozy=2040 i lp=880</v>
      </c>
      <c r="AG98" s="34" t="str">
        <f t="shared" si="21"/>
        <v>rokprognozy=2041 i lp=880</v>
      </c>
      <c r="AH98" s="34" t="str">
        <f t="shared" si="21"/>
        <v>rokprognozy=2042 i lp=880</v>
      </c>
    </row>
    <row r="99" spans="1:34">
      <c r="A99" s="33">
        <v>890</v>
      </c>
      <c r="B99" s="33">
        <v>14.2</v>
      </c>
      <c r="C99" s="34" t="s">
        <v>150</v>
      </c>
      <c r="D99" s="34" t="str">
        <f t="shared" si="17"/>
        <v>rokprognozy=2013 i lp=890</v>
      </c>
      <c r="E99" s="34" t="str">
        <f t="shared" si="19"/>
        <v>rokprognozy=2013 i lp=890</v>
      </c>
      <c r="F99" s="34" t="str">
        <f t="shared" si="19"/>
        <v>rokprognozy=2014 i lp=890</v>
      </c>
      <c r="G99" s="34" t="str">
        <f t="shared" si="19"/>
        <v>rokprognozy=2015 i lp=890</v>
      </c>
      <c r="H99" s="34" t="str">
        <f t="shared" si="19"/>
        <v>rokprognozy=2016 i lp=890</v>
      </c>
      <c r="I99" s="34" t="str">
        <f t="shared" si="19"/>
        <v>rokprognozy=2017 i lp=890</v>
      </c>
      <c r="J99" s="34" t="str">
        <f t="shared" si="19"/>
        <v>rokprognozy=2018 i lp=890</v>
      </c>
      <c r="K99" s="34" t="str">
        <f t="shared" si="19"/>
        <v>rokprognozy=2019 i lp=890</v>
      </c>
      <c r="L99" s="34" t="str">
        <f t="shared" si="19"/>
        <v>rokprognozy=2020 i lp=890</v>
      </c>
      <c r="M99" s="34" t="str">
        <f t="shared" si="19"/>
        <v>rokprognozy=2021 i lp=890</v>
      </c>
      <c r="N99" s="34" t="str">
        <f t="shared" si="20"/>
        <v>rokprognozy=2022 i lp=890</v>
      </c>
      <c r="O99" s="34" t="str">
        <f t="shared" si="20"/>
        <v>rokprognozy=2023 i lp=890</v>
      </c>
      <c r="P99" s="34" t="str">
        <f t="shared" si="20"/>
        <v>rokprognozy=2024 i lp=890</v>
      </c>
      <c r="Q99" s="34" t="str">
        <f t="shared" si="20"/>
        <v>rokprognozy=2025 i lp=890</v>
      </c>
      <c r="R99" s="34" t="str">
        <f t="shared" si="20"/>
        <v>rokprognozy=2026 i lp=890</v>
      </c>
      <c r="S99" s="34" t="str">
        <f t="shared" si="20"/>
        <v>rokprognozy=2027 i lp=890</v>
      </c>
      <c r="T99" s="34" t="str">
        <f t="shared" si="20"/>
        <v>rokprognozy=2028 i lp=890</v>
      </c>
      <c r="U99" s="34" t="str">
        <f t="shared" si="20"/>
        <v>rokprognozy=2029 i lp=890</v>
      </c>
      <c r="V99" s="34" t="str">
        <f t="shared" si="20"/>
        <v>rokprognozy=2030 i lp=890</v>
      </c>
      <c r="W99" s="34" t="str">
        <f t="shared" si="20"/>
        <v>rokprognozy=2031 i lp=890</v>
      </c>
      <c r="X99" s="34" t="str">
        <f t="shared" si="20"/>
        <v>rokprognozy=2032 i lp=890</v>
      </c>
      <c r="Y99" s="34" t="str">
        <f t="shared" si="20"/>
        <v>rokprognozy=2033 i lp=890</v>
      </c>
      <c r="Z99" s="34" t="str">
        <f t="shared" si="20"/>
        <v>rokprognozy=2034 i lp=890</v>
      </c>
      <c r="AA99" s="34" t="str">
        <f t="shared" si="20"/>
        <v>rokprognozy=2035 i lp=890</v>
      </c>
      <c r="AB99" s="34" t="str">
        <f t="shared" si="20"/>
        <v>rokprognozy=2036 i lp=890</v>
      </c>
      <c r="AC99" s="34" t="str">
        <f t="shared" si="20"/>
        <v>rokprognozy=2037 i lp=890</v>
      </c>
      <c r="AD99" s="34" t="str">
        <f t="shared" si="21"/>
        <v>rokprognozy=2038 i lp=890</v>
      </c>
      <c r="AE99" s="34" t="str">
        <f t="shared" si="21"/>
        <v>rokprognozy=2039 i lp=890</v>
      </c>
      <c r="AF99" s="34" t="str">
        <f t="shared" si="21"/>
        <v>rokprognozy=2040 i lp=890</v>
      </c>
      <c r="AG99" s="34" t="str">
        <f t="shared" si="21"/>
        <v>rokprognozy=2041 i lp=890</v>
      </c>
      <c r="AH99" s="34" t="str">
        <f t="shared" si="21"/>
        <v>rokprognozy=2042 i lp=890</v>
      </c>
    </row>
    <row r="100" spans="1:34">
      <c r="A100" s="33">
        <v>900</v>
      </c>
      <c r="B100" s="33">
        <v>14.3</v>
      </c>
      <c r="C100" s="34" t="s">
        <v>151</v>
      </c>
      <c r="D100" s="34" t="str">
        <f t="shared" si="17"/>
        <v>rokprognozy=2013 i lp=900</v>
      </c>
      <c r="E100" s="34" t="str">
        <f t="shared" si="19"/>
        <v>rokprognozy=2013 i lp=900</v>
      </c>
      <c r="F100" s="34" t="str">
        <f t="shared" si="19"/>
        <v>rokprognozy=2014 i lp=900</v>
      </c>
      <c r="G100" s="34" t="str">
        <f t="shared" si="19"/>
        <v>rokprognozy=2015 i lp=900</v>
      </c>
      <c r="H100" s="34" t="str">
        <f t="shared" si="19"/>
        <v>rokprognozy=2016 i lp=900</v>
      </c>
      <c r="I100" s="34" t="str">
        <f t="shared" si="19"/>
        <v>rokprognozy=2017 i lp=900</v>
      </c>
      <c r="J100" s="34" t="str">
        <f t="shared" si="19"/>
        <v>rokprognozy=2018 i lp=900</v>
      </c>
      <c r="K100" s="34" t="str">
        <f t="shared" si="19"/>
        <v>rokprognozy=2019 i lp=900</v>
      </c>
      <c r="L100" s="34" t="str">
        <f t="shared" si="19"/>
        <v>rokprognozy=2020 i lp=900</v>
      </c>
      <c r="M100" s="34" t="str">
        <f t="shared" si="19"/>
        <v>rokprognozy=2021 i lp=900</v>
      </c>
      <c r="N100" s="34" t="str">
        <f t="shared" si="20"/>
        <v>rokprognozy=2022 i lp=900</v>
      </c>
      <c r="O100" s="34" t="str">
        <f t="shared" si="20"/>
        <v>rokprognozy=2023 i lp=900</v>
      </c>
      <c r="P100" s="34" t="str">
        <f t="shared" si="20"/>
        <v>rokprognozy=2024 i lp=900</v>
      </c>
      <c r="Q100" s="34" t="str">
        <f t="shared" si="20"/>
        <v>rokprognozy=2025 i lp=900</v>
      </c>
      <c r="R100" s="34" t="str">
        <f t="shared" si="20"/>
        <v>rokprognozy=2026 i lp=900</v>
      </c>
      <c r="S100" s="34" t="str">
        <f t="shared" si="20"/>
        <v>rokprognozy=2027 i lp=900</v>
      </c>
      <c r="T100" s="34" t="str">
        <f t="shared" si="20"/>
        <v>rokprognozy=2028 i lp=900</v>
      </c>
      <c r="U100" s="34" t="str">
        <f t="shared" si="20"/>
        <v>rokprognozy=2029 i lp=900</v>
      </c>
      <c r="V100" s="34" t="str">
        <f t="shared" si="20"/>
        <v>rokprognozy=2030 i lp=900</v>
      </c>
      <c r="W100" s="34" t="str">
        <f t="shared" si="20"/>
        <v>rokprognozy=2031 i lp=900</v>
      </c>
      <c r="X100" s="34" t="str">
        <f t="shared" si="20"/>
        <v>rokprognozy=2032 i lp=900</v>
      </c>
      <c r="Y100" s="34" t="str">
        <f t="shared" si="20"/>
        <v>rokprognozy=2033 i lp=900</v>
      </c>
      <c r="Z100" s="34" t="str">
        <f t="shared" si="20"/>
        <v>rokprognozy=2034 i lp=900</v>
      </c>
      <c r="AA100" s="34" t="str">
        <f t="shared" si="20"/>
        <v>rokprognozy=2035 i lp=900</v>
      </c>
      <c r="AB100" s="34" t="str">
        <f t="shared" si="20"/>
        <v>rokprognozy=2036 i lp=900</v>
      </c>
      <c r="AC100" s="34" t="str">
        <f t="shared" si="20"/>
        <v>rokprognozy=2037 i lp=900</v>
      </c>
      <c r="AD100" s="34" t="str">
        <f t="shared" si="21"/>
        <v>rokprognozy=2038 i lp=900</v>
      </c>
      <c r="AE100" s="34" t="str">
        <f t="shared" si="21"/>
        <v>rokprognozy=2039 i lp=900</v>
      </c>
      <c r="AF100" s="34" t="str">
        <f t="shared" si="21"/>
        <v>rokprognozy=2040 i lp=900</v>
      </c>
      <c r="AG100" s="34" t="str">
        <f t="shared" si="21"/>
        <v>rokprognozy=2041 i lp=900</v>
      </c>
      <c r="AH100" s="34" t="str">
        <f t="shared" si="21"/>
        <v>rokprognozy=2042 i lp=900</v>
      </c>
    </row>
    <row r="101" spans="1:34">
      <c r="A101" s="33">
        <v>910</v>
      </c>
      <c r="B101" s="33" t="s">
        <v>152</v>
      </c>
      <c r="C101" s="34" t="s">
        <v>153</v>
      </c>
      <c r="D101" s="34" t="str">
        <f t="shared" si="17"/>
        <v>rokprognozy=2013 i lp=910</v>
      </c>
      <c r="E101" s="34" t="str">
        <f t="shared" si="19"/>
        <v>rokprognozy=2013 i lp=910</v>
      </c>
      <c r="F101" s="34" t="str">
        <f t="shared" si="19"/>
        <v>rokprognozy=2014 i lp=910</v>
      </c>
      <c r="G101" s="34" t="str">
        <f t="shared" si="19"/>
        <v>rokprognozy=2015 i lp=910</v>
      </c>
      <c r="H101" s="34" t="str">
        <f t="shared" si="19"/>
        <v>rokprognozy=2016 i lp=910</v>
      </c>
      <c r="I101" s="34" t="str">
        <f t="shared" si="19"/>
        <v>rokprognozy=2017 i lp=910</v>
      </c>
      <c r="J101" s="34" t="str">
        <f t="shared" si="19"/>
        <v>rokprognozy=2018 i lp=910</v>
      </c>
      <c r="K101" s="34" t="str">
        <f t="shared" si="19"/>
        <v>rokprognozy=2019 i lp=910</v>
      </c>
      <c r="L101" s="34" t="str">
        <f t="shared" si="19"/>
        <v>rokprognozy=2020 i lp=910</v>
      </c>
      <c r="M101" s="34" t="str">
        <f t="shared" si="19"/>
        <v>rokprognozy=2021 i lp=910</v>
      </c>
      <c r="N101" s="34" t="str">
        <f t="shared" si="20"/>
        <v>rokprognozy=2022 i lp=910</v>
      </c>
      <c r="O101" s="34" t="str">
        <f t="shared" si="20"/>
        <v>rokprognozy=2023 i lp=910</v>
      </c>
      <c r="P101" s="34" t="str">
        <f t="shared" si="20"/>
        <v>rokprognozy=2024 i lp=910</v>
      </c>
      <c r="Q101" s="34" t="str">
        <f t="shared" si="20"/>
        <v>rokprognozy=2025 i lp=910</v>
      </c>
      <c r="R101" s="34" t="str">
        <f t="shared" si="20"/>
        <v>rokprognozy=2026 i lp=910</v>
      </c>
      <c r="S101" s="34" t="str">
        <f t="shared" si="20"/>
        <v>rokprognozy=2027 i lp=910</v>
      </c>
      <c r="T101" s="34" t="str">
        <f t="shared" si="20"/>
        <v>rokprognozy=2028 i lp=910</v>
      </c>
      <c r="U101" s="34" t="str">
        <f t="shared" si="20"/>
        <v>rokprognozy=2029 i lp=910</v>
      </c>
      <c r="V101" s="34" t="str">
        <f t="shared" si="20"/>
        <v>rokprognozy=2030 i lp=910</v>
      </c>
      <c r="W101" s="34" t="str">
        <f t="shared" si="20"/>
        <v>rokprognozy=2031 i lp=910</v>
      </c>
      <c r="X101" s="34" t="str">
        <f t="shared" si="20"/>
        <v>rokprognozy=2032 i lp=910</v>
      </c>
      <c r="Y101" s="34" t="str">
        <f t="shared" si="20"/>
        <v>rokprognozy=2033 i lp=910</v>
      </c>
      <c r="Z101" s="34" t="str">
        <f t="shared" si="20"/>
        <v>rokprognozy=2034 i lp=910</v>
      </c>
      <c r="AA101" s="34" t="str">
        <f t="shared" si="20"/>
        <v>rokprognozy=2035 i lp=910</v>
      </c>
      <c r="AB101" s="34" t="str">
        <f t="shared" si="20"/>
        <v>rokprognozy=2036 i lp=910</v>
      </c>
      <c r="AC101" s="34" t="str">
        <f t="shared" si="20"/>
        <v>rokprognozy=2037 i lp=910</v>
      </c>
      <c r="AD101" s="34" t="str">
        <f t="shared" si="21"/>
        <v>rokprognozy=2038 i lp=910</v>
      </c>
      <c r="AE101" s="34" t="str">
        <f t="shared" si="21"/>
        <v>rokprognozy=2039 i lp=910</v>
      </c>
      <c r="AF101" s="34" t="str">
        <f t="shared" si="21"/>
        <v>rokprognozy=2040 i lp=910</v>
      </c>
      <c r="AG101" s="34" t="str">
        <f t="shared" si="21"/>
        <v>rokprognozy=2041 i lp=910</v>
      </c>
      <c r="AH101" s="34" t="str">
        <f t="shared" si="21"/>
        <v>rokprognozy=2042 i lp=910</v>
      </c>
    </row>
    <row r="102" spans="1:34">
      <c r="A102" s="33">
        <v>920</v>
      </c>
      <c r="B102" s="33" t="s">
        <v>154</v>
      </c>
      <c r="C102" s="34" t="s">
        <v>155</v>
      </c>
      <c r="D102" s="34" t="str">
        <f t="shared" si="17"/>
        <v>rokprognozy=2013 i lp=920</v>
      </c>
      <c r="E102" s="34" t="str">
        <f t="shared" si="19"/>
        <v>rokprognozy=2013 i lp=920</v>
      </c>
      <c r="F102" s="34" t="str">
        <f t="shared" si="19"/>
        <v>rokprognozy=2014 i lp=920</v>
      </c>
      <c r="G102" s="34" t="str">
        <f t="shared" si="19"/>
        <v>rokprognozy=2015 i lp=920</v>
      </c>
      <c r="H102" s="34" t="str">
        <f t="shared" si="19"/>
        <v>rokprognozy=2016 i lp=920</v>
      </c>
      <c r="I102" s="34" t="str">
        <f t="shared" si="19"/>
        <v>rokprognozy=2017 i lp=920</v>
      </c>
      <c r="J102" s="34" t="str">
        <f t="shared" si="19"/>
        <v>rokprognozy=2018 i lp=920</v>
      </c>
      <c r="K102" s="34" t="str">
        <f t="shared" si="19"/>
        <v>rokprognozy=2019 i lp=920</v>
      </c>
      <c r="L102" s="34" t="str">
        <f t="shared" si="19"/>
        <v>rokprognozy=2020 i lp=920</v>
      </c>
      <c r="M102" s="34" t="str">
        <f t="shared" si="19"/>
        <v>rokprognozy=2021 i lp=920</v>
      </c>
      <c r="N102" s="34" t="str">
        <f t="shared" si="20"/>
        <v>rokprognozy=2022 i lp=920</v>
      </c>
      <c r="O102" s="34" t="str">
        <f t="shared" si="20"/>
        <v>rokprognozy=2023 i lp=920</v>
      </c>
      <c r="P102" s="34" t="str">
        <f t="shared" si="20"/>
        <v>rokprognozy=2024 i lp=920</v>
      </c>
      <c r="Q102" s="34" t="str">
        <f t="shared" si="20"/>
        <v>rokprognozy=2025 i lp=920</v>
      </c>
      <c r="R102" s="34" t="str">
        <f t="shared" si="20"/>
        <v>rokprognozy=2026 i lp=920</v>
      </c>
      <c r="S102" s="34" t="str">
        <f t="shared" si="20"/>
        <v>rokprognozy=2027 i lp=920</v>
      </c>
      <c r="T102" s="34" t="str">
        <f t="shared" si="20"/>
        <v>rokprognozy=2028 i lp=920</v>
      </c>
      <c r="U102" s="34" t="str">
        <f t="shared" si="20"/>
        <v>rokprognozy=2029 i lp=920</v>
      </c>
      <c r="V102" s="34" t="str">
        <f t="shared" si="20"/>
        <v>rokprognozy=2030 i lp=920</v>
      </c>
      <c r="W102" s="34" t="str">
        <f t="shared" si="20"/>
        <v>rokprognozy=2031 i lp=920</v>
      </c>
      <c r="X102" s="34" t="str">
        <f t="shared" si="20"/>
        <v>rokprognozy=2032 i lp=920</v>
      </c>
      <c r="Y102" s="34" t="str">
        <f t="shared" si="20"/>
        <v>rokprognozy=2033 i lp=920</v>
      </c>
      <c r="Z102" s="34" t="str">
        <f t="shared" si="20"/>
        <v>rokprognozy=2034 i lp=920</v>
      </c>
      <c r="AA102" s="34" t="str">
        <f t="shared" si="20"/>
        <v>rokprognozy=2035 i lp=920</v>
      </c>
      <c r="AB102" s="34" t="str">
        <f t="shared" si="20"/>
        <v>rokprognozy=2036 i lp=920</v>
      </c>
      <c r="AC102" s="34" t="str">
        <f t="shared" si="20"/>
        <v>rokprognozy=2037 i lp=920</v>
      </c>
      <c r="AD102" s="34" t="str">
        <f t="shared" si="21"/>
        <v>rokprognozy=2038 i lp=920</v>
      </c>
      <c r="AE102" s="34" t="str">
        <f t="shared" si="21"/>
        <v>rokprognozy=2039 i lp=920</v>
      </c>
      <c r="AF102" s="34" t="str">
        <f t="shared" si="21"/>
        <v>rokprognozy=2040 i lp=920</v>
      </c>
      <c r="AG102" s="34" t="str">
        <f t="shared" si="21"/>
        <v>rokprognozy=2041 i lp=920</v>
      </c>
      <c r="AH102" s="34" t="str">
        <f t="shared" si="21"/>
        <v>rokprognozy=2042 i lp=920</v>
      </c>
    </row>
    <row r="103" spans="1:34">
      <c r="A103" s="33">
        <v>930</v>
      </c>
      <c r="B103" s="33" t="s">
        <v>156</v>
      </c>
      <c r="C103" s="34" t="s">
        <v>157</v>
      </c>
      <c r="D103" s="34" t="str">
        <f t="shared" si="17"/>
        <v>rokprognozy=2013 i lp=930</v>
      </c>
      <c r="E103" s="34" t="str">
        <f t="shared" si="19"/>
        <v>rokprognozy=2013 i lp=930</v>
      </c>
      <c r="F103" s="34" t="str">
        <f t="shared" si="19"/>
        <v>rokprognozy=2014 i lp=930</v>
      </c>
      <c r="G103" s="34" t="str">
        <f t="shared" si="19"/>
        <v>rokprognozy=2015 i lp=930</v>
      </c>
      <c r="H103" s="34" t="str">
        <f t="shared" si="19"/>
        <v>rokprognozy=2016 i lp=930</v>
      </c>
      <c r="I103" s="34" t="str">
        <f t="shared" si="19"/>
        <v>rokprognozy=2017 i lp=930</v>
      </c>
      <c r="J103" s="34" t="str">
        <f t="shared" si="19"/>
        <v>rokprognozy=2018 i lp=930</v>
      </c>
      <c r="K103" s="34" t="str">
        <f t="shared" si="19"/>
        <v>rokprognozy=2019 i lp=930</v>
      </c>
      <c r="L103" s="34" t="str">
        <f t="shared" si="19"/>
        <v>rokprognozy=2020 i lp=930</v>
      </c>
      <c r="M103" s="34" t="str">
        <f t="shared" si="19"/>
        <v>rokprognozy=2021 i lp=930</v>
      </c>
      <c r="N103" s="34" t="str">
        <f t="shared" si="20"/>
        <v>rokprognozy=2022 i lp=930</v>
      </c>
      <c r="O103" s="34" t="str">
        <f t="shared" si="20"/>
        <v>rokprognozy=2023 i lp=930</v>
      </c>
      <c r="P103" s="34" t="str">
        <f t="shared" si="20"/>
        <v>rokprognozy=2024 i lp=930</v>
      </c>
      <c r="Q103" s="34" t="str">
        <f t="shared" si="20"/>
        <v>rokprognozy=2025 i lp=930</v>
      </c>
      <c r="R103" s="34" t="str">
        <f t="shared" si="20"/>
        <v>rokprognozy=2026 i lp=930</v>
      </c>
      <c r="S103" s="34" t="str">
        <f t="shared" si="20"/>
        <v>rokprognozy=2027 i lp=930</v>
      </c>
      <c r="T103" s="34" t="str">
        <f t="shared" si="20"/>
        <v>rokprognozy=2028 i lp=930</v>
      </c>
      <c r="U103" s="34" t="str">
        <f t="shared" si="20"/>
        <v>rokprognozy=2029 i lp=930</v>
      </c>
      <c r="V103" s="34" t="str">
        <f t="shared" si="20"/>
        <v>rokprognozy=2030 i lp=930</v>
      </c>
      <c r="W103" s="34" t="str">
        <f t="shared" si="20"/>
        <v>rokprognozy=2031 i lp=930</v>
      </c>
      <c r="X103" s="34" t="str">
        <f t="shared" si="20"/>
        <v>rokprognozy=2032 i lp=930</v>
      </c>
      <c r="Y103" s="34" t="str">
        <f t="shared" si="20"/>
        <v>rokprognozy=2033 i lp=930</v>
      </c>
      <c r="Z103" s="34" t="str">
        <f t="shared" si="20"/>
        <v>rokprognozy=2034 i lp=930</v>
      </c>
      <c r="AA103" s="34" t="str">
        <f t="shared" si="20"/>
        <v>rokprognozy=2035 i lp=930</v>
      </c>
      <c r="AB103" s="34" t="str">
        <f t="shared" si="20"/>
        <v>rokprognozy=2036 i lp=930</v>
      </c>
      <c r="AC103" s="34" t="str">
        <f t="shared" si="20"/>
        <v>rokprognozy=2037 i lp=930</v>
      </c>
      <c r="AD103" s="34" t="str">
        <f t="shared" si="21"/>
        <v>rokprognozy=2038 i lp=930</v>
      </c>
      <c r="AE103" s="34" t="str">
        <f t="shared" si="21"/>
        <v>rokprognozy=2039 i lp=930</v>
      </c>
      <c r="AF103" s="34" t="str">
        <f t="shared" si="21"/>
        <v>rokprognozy=2040 i lp=930</v>
      </c>
      <c r="AG103" s="34" t="str">
        <f t="shared" si="21"/>
        <v>rokprognozy=2041 i lp=930</v>
      </c>
      <c r="AH103" s="34" t="str">
        <f t="shared" si="21"/>
        <v>rokprognozy=2042 i lp=930</v>
      </c>
    </row>
    <row r="104" spans="1:34">
      <c r="A104" s="33">
        <v>940</v>
      </c>
      <c r="B104" s="33">
        <v>14.4</v>
      </c>
      <c r="C104" s="34" t="s">
        <v>158</v>
      </c>
      <c r="D104" s="34" t="str">
        <f t="shared" si="17"/>
        <v>rokprognozy=2013 i lp=940</v>
      </c>
      <c r="E104" s="34" t="str">
        <f t="shared" si="19"/>
        <v>rokprognozy=2013 i lp=940</v>
      </c>
      <c r="F104" s="34" t="str">
        <f t="shared" si="19"/>
        <v>rokprognozy=2014 i lp=940</v>
      </c>
      <c r="G104" s="34" t="str">
        <f t="shared" si="19"/>
        <v>rokprognozy=2015 i lp=940</v>
      </c>
      <c r="H104" s="34" t="str">
        <f t="shared" si="19"/>
        <v>rokprognozy=2016 i lp=940</v>
      </c>
      <c r="I104" s="34" t="str">
        <f t="shared" si="19"/>
        <v>rokprognozy=2017 i lp=940</v>
      </c>
      <c r="J104" s="34" t="str">
        <f t="shared" si="19"/>
        <v>rokprognozy=2018 i lp=940</v>
      </c>
      <c r="K104" s="34" t="str">
        <f t="shared" si="19"/>
        <v>rokprognozy=2019 i lp=940</v>
      </c>
      <c r="L104" s="34" t="str">
        <f t="shared" si="19"/>
        <v>rokprognozy=2020 i lp=940</v>
      </c>
      <c r="M104" s="34" t="str">
        <f t="shared" si="19"/>
        <v>rokprognozy=2021 i lp=940</v>
      </c>
      <c r="N104" s="34" t="str">
        <f t="shared" si="20"/>
        <v>rokprognozy=2022 i lp=940</v>
      </c>
      <c r="O104" s="34" t="str">
        <f t="shared" si="20"/>
        <v>rokprognozy=2023 i lp=940</v>
      </c>
      <c r="P104" s="34" t="str">
        <f t="shared" si="20"/>
        <v>rokprognozy=2024 i lp=940</v>
      </c>
      <c r="Q104" s="34" t="str">
        <f t="shared" si="20"/>
        <v>rokprognozy=2025 i lp=940</v>
      </c>
      <c r="R104" s="34" t="str">
        <f t="shared" si="20"/>
        <v>rokprognozy=2026 i lp=940</v>
      </c>
      <c r="S104" s="34" t="str">
        <f t="shared" si="20"/>
        <v>rokprognozy=2027 i lp=940</v>
      </c>
      <c r="T104" s="34" t="str">
        <f t="shared" ref="T104:AC104" si="22">+"rokprognozy="&amp;T$9&amp;" i lp="&amp;$A104</f>
        <v>rokprognozy=2028 i lp=940</v>
      </c>
      <c r="U104" s="34" t="str">
        <f t="shared" si="22"/>
        <v>rokprognozy=2029 i lp=940</v>
      </c>
      <c r="V104" s="34" t="str">
        <f t="shared" si="22"/>
        <v>rokprognozy=2030 i lp=940</v>
      </c>
      <c r="W104" s="34" t="str">
        <f t="shared" si="22"/>
        <v>rokprognozy=2031 i lp=940</v>
      </c>
      <c r="X104" s="34" t="str">
        <f t="shared" si="22"/>
        <v>rokprognozy=2032 i lp=940</v>
      </c>
      <c r="Y104" s="34" t="str">
        <f t="shared" si="22"/>
        <v>rokprognozy=2033 i lp=940</v>
      </c>
      <c r="Z104" s="34" t="str">
        <f t="shared" si="22"/>
        <v>rokprognozy=2034 i lp=940</v>
      </c>
      <c r="AA104" s="34" t="str">
        <f t="shared" si="22"/>
        <v>rokprognozy=2035 i lp=940</v>
      </c>
      <c r="AB104" s="34" t="str">
        <f t="shared" si="22"/>
        <v>rokprognozy=2036 i lp=940</v>
      </c>
      <c r="AC104" s="34" t="str">
        <f t="shared" si="22"/>
        <v>rokprognozy=2037 i lp=940</v>
      </c>
      <c r="AD104" s="34" t="str">
        <f t="shared" si="21"/>
        <v>rokprognozy=2038 i lp=940</v>
      </c>
      <c r="AE104" s="34" t="str">
        <f t="shared" si="21"/>
        <v>rokprognozy=2039 i lp=940</v>
      </c>
      <c r="AF104" s="34" t="str">
        <f t="shared" si="21"/>
        <v>rokprognozy=2040 i lp=940</v>
      </c>
      <c r="AG104" s="34" t="str">
        <f t="shared" si="21"/>
        <v>rokprognozy=2041 i lp=940</v>
      </c>
      <c r="AH104" s="34" t="str">
        <f t="shared" si="21"/>
        <v>rokprognozy=2042 i lp=940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P333"/>
  <sheetViews>
    <sheetView workbookViewId="0">
      <selection activeCell="O4" sqref="O4:O33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  <col min="16" max="16" width="12.5" customWidth="1"/>
  </cols>
  <sheetData>
    <row r="1" spans="1:16" ht="15">
      <c r="A1" s="3" t="s">
        <v>23</v>
      </c>
      <c r="L1" s="6" t="s">
        <v>26</v>
      </c>
      <c r="M1" s="20">
        <f>MIN(L:L)</f>
        <v>2013</v>
      </c>
      <c r="O1" t="s">
        <v>266</v>
      </c>
      <c r="P1">
        <f>MAX(L:L)</f>
        <v>2022</v>
      </c>
    </row>
    <row r="3" spans="1:16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</row>
    <row r="4" spans="1:16">
      <c r="A4" s="16">
        <v>2013</v>
      </c>
      <c r="B4" s="17" t="s">
        <v>449</v>
      </c>
      <c r="C4" s="17" t="s">
        <v>450</v>
      </c>
      <c r="D4" s="18">
        <v>1015042</v>
      </c>
      <c r="E4" s="18">
        <v>2</v>
      </c>
      <c r="F4" s="18"/>
      <c r="G4" s="18">
        <v>180</v>
      </c>
      <c r="H4" s="18" t="s">
        <v>65</v>
      </c>
      <c r="I4" s="18"/>
      <c r="J4" s="18" t="s">
        <v>66</v>
      </c>
      <c r="K4" s="18" t="b">
        <v>0</v>
      </c>
      <c r="L4" s="14">
        <v>2020</v>
      </c>
      <c r="M4" s="15">
        <v>64022</v>
      </c>
      <c r="N4" s="19">
        <v>41453</v>
      </c>
      <c r="O4" s="19">
        <v>41453</v>
      </c>
    </row>
    <row r="5" spans="1:16">
      <c r="A5" s="16">
        <v>2013</v>
      </c>
      <c r="B5" s="17" t="s">
        <v>449</v>
      </c>
      <c r="C5" s="17" t="s">
        <v>450</v>
      </c>
      <c r="D5" s="18">
        <v>1015042</v>
      </c>
      <c r="E5" s="18">
        <v>2</v>
      </c>
      <c r="F5" s="18"/>
      <c r="G5" s="18">
        <v>200</v>
      </c>
      <c r="H5" s="18">
        <v>3</v>
      </c>
      <c r="I5" s="18" t="s">
        <v>451</v>
      </c>
      <c r="J5" s="18" t="s">
        <v>21</v>
      </c>
      <c r="K5" s="18" t="b">
        <v>0</v>
      </c>
      <c r="L5" s="14">
        <v>2022</v>
      </c>
      <c r="M5" s="15">
        <v>13948.43</v>
      </c>
      <c r="N5" s="19">
        <v>41453</v>
      </c>
      <c r="O5" s="19">
        <v>41453</v>
      </c>
    </row>
    <row r="6" spans="1:16">
      <c r="A6" s="16">
        <v>2013</v>
      </c>
      <c r="B6" s="17" t="s">
        <v>449</v>
      </c>
      <c r="C6" s="17" t="s">
        <v>450</v>
      </c>
      <c r="D6" s="18">
        <v>1015042</v>
      </c>
      <c r="E6" s="18">
        <v>2</v>
      </c>
      <c r="F6" s="18"/>
      <c r="G6" s="18">
        <v>540</v>
      </c>
      <c r="H6" s="18" t="s">
        <v>104</v>
      </c>
      <c r="I6" s="18" t="s">
        <v>452</v>
      </c>
      <c r="J6" s="18" t="s">
        <v>105</v>
      </c>
      <c r="K6" s="18" t="b">
        <v>0</v>
      </c>
      <c r="L6" s="14">
        <v>2021</v>
      </c>
      <c r="M6" s="15">
        <v>296</v>
      </c>
      <c r="N6" s="19">
        <v>41453</v>
      </c>
      <c r="O6" s="19">
        <v>41453</v>
      </c>
    </row>
    <row r="7" spans="1:16">
      <c r="A7" s="16">
        <v>2013</v>
      </c>
      <c r="B7" s="17" t="s">
        <v>449</v>
      </c>
      <c r="C7" s="17" t="s">
        <v>450</v>
      </c>
      <c r="D7" s="18">
        <v>1015042</v>
      </c>
      <c r="E7" s="18">
        <v>2</v>
      </c>
      <c r="F7" s="18"/>
      <c r="G7" s="18">
        <v>470</v>
      </c>
      <c r="H7" s="18">
        <v>9.3000000000000007</v>
      </c>
      <c r="I7" s="18" t="s">
        <v>453</v>
      </c>
      <c r="J7" s="18" t="s">
        <v>454</v>
      </c>
      <c r="K7" s="18" t="b">
        <v>1</v>
      </c>
      <c r="L7" s="14">
        <v>2021</v>
      </c>
      <c r="M7" s="15">
        <v>6.0100000000000001E-2</v>
      </c>
      <c r="N7" s="19">
        <v>41453</v>
      </c>
      <c r="O7" s="19">
        <v>41453</v>
      </c>
    </row>
    <row r="8" spans="1:16">
      <c r="A8" s="16">
        <v>2013</v>
      </c>
      <c r="B8" s="17" t="s">
        <v>449</v>
      </c>
      <c r="C8" s="17" t="s">
        <v>450</v>
      </c>
      <c r="D8" s="18">
        <v>1015042</v>
      </c>
      <c r="E8" s="18">
        <v>2</v>
      </c>
      <c r="F8" s="18"/>
      <c r="G8" s="18">
        <v>310</v>
      </c>
      <c r="H8" s="18">
        <v>5.0999999999999996</v>
      </c>
      <c r="I8" s="18"/>
      <c r="J8" s="18" t="s">
        <v>79</v>
      </c>
      <c r="K8" s="18" t="b">
        <v>1</v>
      </c>
      <c r="L8" s="14">
        <v>2017</v>
      </c>
      <c r="M8" s="15">
        <v>395853</v>
      </c>
      <c r="N8" s="19">
        <v>41453</v>
      </c>
      <c r="O8" s="19">
        <v>41453</v>
      </c>
    </row>
    <row r="9" spans="1:16">
      <c r="A9" s="16">
        <v>2013</v>
      </c>
      <c r="B9" s="17" t="s">
        <v>449</v>
      </c>
      <c r="C9" s="17" t="s">
        <v>450</v>
      </c>
      <c r="D9" s="18">
        <v>1015042</v>
      </c>
      <c r="E9" s="18">
        <v>2</v>
      </c>
      <c r="F9" s="18"/>
      <c r="G9" s="18">
        <v>640</v>
      </c>
      <c r="H9" s="18">
        <v>11.5</v>
      </c>
      <c r="I9" s="18"/>
      <c r="J9" s="18" t="s">
        <v>117</v>
      </c>
      <c r="K9" s="18" t="b">
        <v>1</v>
      </c>
      <c r="L9" s="14">
        <v>2016</v>
      </c>
      <c r="M9" s="15">
        <v>312867</v>
      </c>
      <c r="N9" s="19">
        <v>41453</v>
      </c>
      <c r="O9" s="19">
        <v>41453</v>
      </c>
    </row>
    <row r="10" spans="1:16">
      <c r="A10" s="16">
        <v>2013</v>
      </c>
      <c r="B10" s="17" t="s">
        <v>449</v>
      </c>
      <c r="C10" s="17" t="s">
        <v>450</v>
      </c>
      <c r="D10" s="18">
        <v>1015042</v>
      </c>
      <c r="E10" s="18">
        <v>2</v>
      </c>
      <c r="F10" s="18"/>
      <c r="G10" s="18">
        <v>310</v>
      </c>
      <c r="H10" s="18">
        <v>5.0999999999999996</v>
      </c>
      <c r="I10" s="18"/>
      <c r="J10" s="18" t="s">
        <v>79</v>
      </c>
      <c r="K10" s="18" t="b">
        <v>1</v>
      </c>
      <c r="L10" s="14">
        <v>2021</v>
      </c>
      <c r="M10" s="15">
        <v>490000</v>
      </c>
      <c r="N10" s="19">
        <v>41453</v>
      </c>
      <c r="O10" s="19">
        <v>41453</v>
      </c>
    </row>
    <row r="11" spans="1:16">
      <c r="A11" s="16">
        <v>2013</v>
      </c>
      <c r="B11" s="17" t="s">
        <v>449</v>
      </c>
      <c r="C11" s="17" t="s">
        <v>450</v>
      </c>
      <c r="D11" s="18">
        <v>1015042</v>
      </c>
      <c r="E11" s="18">
        <v>2</v>
      </c>
      <c r="F11" s="18"/>
      <c r="G11" s="18">
        <v>505</v>
      </c>
      <c r="H11" s="18" t="s">
        <v>98</v>
      </c>
      <c r="I11" s="18" t="s">
        <v>455</v>
      </c>
      <c r="J11" s="18" t="s">
        <v>99</v>
      </c>
      <c r="K11" s="18" t="b">
        <v>0</v>
      </c>
      <c r="L11" s="14">
        <v>2020</v>
      </c>
      <c r="M11" s="15">
        <v>9.1499999999999998E-2</v>
      </c>
      <c r="N11" s="19">
        <v>41453</v>
      </c>
      <c r="O11" s="19">
        <v>41453</v>
      </c>
    </row>
    <row r="12" spans="1:16">
      <c r="A12" s="16">
        <v>2013</v>
      </c>
      <c r="B12" s="17" t="s">
        <v>449</v>
      </c>
      <c r="C12" s="17" t="s">
        <v>450</v>
      </c>
      <c r="D12" s="18">
        <v>1015042</v>
      </c>
      <c r="E12" s="18">
        <v>2</v>
      </c>
      <c r="F12" s="18"/>
      <c r="G12" s="18">
        <v>30</v>
      </c>
      <c r="H12" s="18" t="s">
        <v>39</v>
      </c>
      <c r="I12" s="18"/>
      <c r="J12" s="18" t="s">
        <v>40</v>
      </c>
      <c r="K12" s="18" t="b">
        <v>1</v>
      </c>
      <c r="L12" s="14">
        <v>2013</v>
      </c>
      <c r="M12" s="15">
        <v>792391</v>
      </c>
      <c r="N12" s="19">
        <v>41453</v>
      </c>
      <c r="O12" s="19">
        <v>41453</v>
      </c>
    </row>
    <row r="13" spans="1:16">
      <c r="A13" s="16">
        <v>2013</v>
      </c>
      <c r="B13" s="17" t="s">
        <v>449</v>
      </c>
      <c r="C13" s="17" t="s">
        <v>450</v>
      </c>
      <c r="D13" s="18">
        <v>1015042</v>
      </c>
      <c r="E13" s="18">
        <v>2</v>
      </c>
      <c r="F13" s="18"/>
      <c r="G13" s="18">
        <v>80</v>
      </c>
      <c r="H13" s="18" t="s">
        <v>49</v>
      </c>
      <c r="I13" s="18"/>
      <c r="J13" s="18" t="s">
        <v>50</v>
      </c>
      <c r="K13" s="18" t="b">
        <v>1</v>
      </c>
      <c r="L13" s="14">
        <v>2013</v>
      </c>
      <c r="M13" s="15">
        <v>1194354.01</v>
      </c>
      <c r="N13" s="19">
        <v>41453</v>
      </c>
      <c r="O13" s="19">
        <v>41453</v>
      </c>
    </row>
    <row r="14" spans="1:16">
      <c r="A14" s="16">
        <v>2013</v>
      </c>
      <c r="B14" s="17" t="s">
        <v>449</v>
      </c>
      <c r="C14" s="17" t="s">
        <v>450</v>
      </c>
      <c r="D14" s="18">
        <v>1015042</v>
      </c>
      <c r="E14" s="18">
        <v>2</v>
      </c>
      <c r="F14" s="18"/>
      <c r="G14" s="18">
        <v>530</v>
      </c>
      <c r="H14" s="18">
        <v>9.8000000000000007</v>
      </c>
      <c r="I14" s="18" t="s">
        <v>456</v>
      </c>
      <c r="J14" s="18" t="s">
        <v>103</v>
      </c>
      <c r="K14" s="18" t="b">
        <v>0</v>
      </c>
      <c r="L14" s="14">
        <v>2013</v>
      </c>
      <c r="M14" s="15">
        <v>459</v>
      </c>
      <c r="N14" s="19">
        <v>41453</v>
      </c>
      <c r="O14" s="19">
        <v>41453</v>
      </c>
    </row>
    <row r="15" spans="1:16">
      <c r="A15" s="16">
        <v>2013</v>
      </c>
      <c r="B15" s="17" t="s">
        <v>449</v>
      </c>
      <c r="C15" s="17" t="s">
        <v>450</v>
      </c>
      <c r="D15" s="18">
        <v>1015042</v>
      </c>
      <c r="E15" s="18">
        <v>2</v>
      </c>
      <c r="F15" s="18"/>
      <c r="G15" s="18">
        <v>10</v>
      </c>
      <c r="H15" s="18">
        <v>1</v>
      </c>
      <c r="I15" s="18" t="s">
        <v>457</v>
      </c>
      <c r="J15" s="18" t="s">
        <v>24</v>
      </c>
      <c r="K15" s="18" t="b">
        <v>1</v>
      </c>
      <c r="L15" s="14">
        <v>2020</v>
      </c>
      <c r="M15" s="15">
        <v>8499749</v>
      </c>
      <c r="N15" s="19">
        <v>41453</v>
      </c>
      <c r="O15" s="19">
        <v>41453</v>
      </c>
    </row>
    <row r="16" spans="1:16">
      <c r="A16" s="16">
        <v>2013</v>
      </c>
      <c r="B16" s="17" t="s">
        <v>449</v>
      </c>
      <c r="C16" s="17" t="s">
        <v>450</v>
      </c>
      <c r="D16" s="18">
        <v>1015042</v>
      </c>
      <c r="E16" s="18">
        <v>2</v>
      </c>
      <c r="F16" s="18"/>
      <c r="G16" s="18">
        <v>20</v>
      </c>
      <c r="H16" s="18">
        <v>1.1000000000000001</v>
      </c>
      <c r="I16" s="18"/>
      <c r="J16" s="18" t="s">
        <v>38</v>
      </c>
      <c r="K16" s="18" t="b">
        <v>1</v>
      </c>
      <c r="L16" s="14">
        <v>2021</v>
      </c>
      <c r="M16" s="15">
        <v>8663741</v>
      </c>
      <c r="N16" s="19">
        <v>41453</v>
      </c>
      <c r="O16" s="19">
        <v>41453</v>
      </c>
    </row>
    <row r="17" spans="1:15">
      <c r="A17" s="16">
        <v>2013</v>
      </c>
      <c r="B17" s="17" t="s">
        <v>449</v>
      </c>
      <c r="C17" s="17" t="s">
        <v>450</v>
      </c>
      <c r="D17" s="18">
        <v>1015042</v>
      </c>
      <c r="E17" s="18">
        <v>2</v>
      </c>
      <c r="F17" s="18"/>
      <c r="G17" s="18">
        <v>190</v>
      </c>
      <c r="H17" s="18">
        <v>2.2000000000000002</v>
      </c>
      <c r="I17" s="18"/>
      <c r="J17" s="18" t="s">
        <v>67</v>
      </c>
      <c r="K17" s="18" t="b">
        <v>0</v>
      </c>
      <c r="L17" s="14">
        <v>2022</v>
      </c>
      <c r="M17" s="15">
        <v>839079.57</v>
      </c>
      <c r="N17" s="19">
        <v>41453</v>
      </c>
      <c r="O17" s="19">
        <v>41453</v>
      </c>
    </row>
    <row r="18" spans="1:15">
      <c r="A18" s="16">
        <v>2013</v>
      </c>
      <c r="B18" s="17" t="s">
        <v>449</v>
      </c>
      <c r="C18" s="17" t="s">
        <v>450</v>
      </c>
      <c r="D18" s="18">
        <v>1015042</v>
      </c>
      <c r="E18" s="18">
        <v>2</v>
      </c>
      <c r="F18" s="18"/>
      <c r="G18" s="18">
        <v>460</v>
      </c>
      <c r="H18" s="18">
        <v>9.1999999999999993</v>
      </c>
      <c r="I18" s="18" t="s">
        <v>458</v>
      </c>
      <c r="J18" s="18" t="s">
        <v>94</v>
      </c>
      <c r="K18" s="18" t="b">
        <v>0</v>
      </c>
      <c r="L18" s="14">
        <v>2022</v>
      </c>
      <c r="M18" s="15">
        <v>1.8E-3</v>
      </c>
      <c r="N18" s="19">
        <v>41453</v>
      </c>
      <c r="O18" s="19">
        <v>41453</v>
      </c>
    </row>
    <row r="19" spans="1:15">
      <c r="A19" s="16">
        <v>2013</v>
      </c>
      <c r="B19" s="17" t="s">
        <v>449</v>
      </c>
      <c r="C19" s="17" t="s">
        <v>450</v>
      </c>
      <c r="D19" s="18">
        <v>1015042</v>
      </c>
      <c r="E19" s="18">
        <v>2</v>
      </c>
      <c r="F19" s="18"/>
      <c r="G19" s="18">
        <v>50</v>
      </c>
      <c r="H19" s="18" t="s">
        <v>43</v>
      </c>
      <c r="I19" s="18"/>
      <c r="J19" s="18" t="s">
        <v>44</v>
      </c>
      <c r="K19" s="18" t="b">
        <v>1</v>
      </c>
      <c r="L19" s="14">
        <v>2013</v>
      </c>
      <c r="M19" s="15">
        <v>2179747</v>
      </c>
      <c r="N19" s="19">
        <v>41453</v>
      </c>
      <c r="O19" s="19">
        <v>41453</v>
      </c>
    </row>
    <row r="20" spans="1:15">
      <c r="A20" s="16">
        <v>2013</v>
      </c>
      <c r="B20" s="17" t="s">
        <v>449</v>
      </c>
      <c r="C20" s="17" t="s">
        <v>450</v>
      </c>
      <c r="D20" s="18">
        <v>1015042</v>
      </c>
      <c r="E20" s="18">
        <v>2</v>
      </c>
      <c r="F20" s="18"/>
      <c r="G20" s="18">
        <v>10</v>
      </c>
      <c r="H20" s="18">
        <v>1</v>
      </c>
      <c r="I20" s="18" t="s">
        <v>457</v>
      </c>
      <c r="J20" s="18" t="s">
        <v>24</v>
      </c>
      <c r="K20" s="18" t="b">
        <v>1</v>
      </c>
      <c r="L20" s="14">
        <v>2014</v>
      </c>
      <c r="M20" s="15">
        <v>7658635</v>
      </c>
      <c r="N20" s="19">
        <v>41453</v>
      </c>
      <c r="O20" s="19">
        <v>41453</v>
      </c>
    </row>
    <row r="21" spans="1:15">
      <c r="A21" s="16">
        <v>2013</v>
      </c>
      <c r="B21" s="17" t="s">
        <v>449</v>
      </c>
      <c r="C21" s="17" t="s">
        <v>450</v>
      </c>
      <c r="D21" s="18">
        <v>1015042</v>
      </c>
      <c r="E21" s="18">
        <v>2</v>
      </c>
      <c r="F21" s="18"/>
      <c r="G21" s="18">
        <v>390</v>
      </c>
      <c r="H21" s="18">
        <v>6.3</v>
      </c>
      <c r="I21" s="18" t="s">
        <v>459</v>
      </c>
      <c r="J21" s="18" t="s">
        <v>89</v>
      </c>
      <c r="K21" s="18" t="b">
        <v>0</v>
      </c>
      <c r="L21" s="14">
        <v>2017</v>
      </c>
      <c r="M21" s="15">
        <v>0.26129999999999998</v>
      </c>
      <c r="N21" s="19">
        <v>41453</v>
      </c>
      <c r="O21" s="19">
        <v>41453</v>
      </c>
    </row>
    <row r="22" spans="1:15">
      <c r="A22" s="16">
        <v>2013</v>
      </c>
      <c r="B22" s="17" t="s">
        <v>449</v>
      </c>
      <c r="C22" s="17" t="s">
        <v>450</v>
      </c>
      <c r="D22" s="18">
        <v>1015042</v>
      </c>
      <c r="E22" s="18">
        <v>2</v>
      </c>
      <c r="F22" s="18"/>
      <c r="G22" s="18">
        <v>720</v>
      </c>
      <c r="H22" s="18" t="s">
        <v>128</v>
      </c>
      <c r="I22" s="18"/>
      <c r="J22" s="18" t="s">
        <v>129</v>
      </c>
      <c r="K22" s="18" t="b">
        <v>0</v>
      </c>
      <c r="L22" s="14">
        <v>2013</v>
      </c>
      <c r="M22" s="15">
        <v>779500</v>
      </c>
      <c r="N22" s="19">
        <v>41453</v>
      </c>
      <c r="O22" s="19">
        <v>41453</v>
      </c>
    </row>
    <row r="23" spans="1:15">
      <c r="A23" s="16">
        <v>2013</v>
      </c>
      <c r="B23" s="17" t="s">
        <v>449</v>
      </c>
      <c r="C23" s="17" t="s">
        <v>450</v>
      </c>
      <c r="D23" s="18">
        <v>1015042</v>
      </c>
      <c r="E23" s="18">
        <v>2</v>
      </c>
      <c r="F23" s="18"/>
      <c r="G23" s="18">
        <v>10</v>
      </c>
      <c r="H23" s="18">
        <v>1</v>
      </c>
      <c r="I23" s="18" t="s">
        <v>457</v>
      </c>
      <c r="J23" s="18" t="s">
        <v>24</v>
      </c>
      <c r="K23" s="18" t="b">
        <v>1</v>
      </c>
      <c r="L23" s="14">
        <v>2018</v>
      </c>
      <c r="M23" s="15">
        <v>8194608</v>
      </c>
      <c r="N23" s="19">
        <v>41453</v>
      </c>
      <c r="O23" s="19">
        <v>41453</v>
      </c>
    </row>
    <row r="24" spans="1:15">
      <c r="A24" s="16">
        <v>2013</v>
      </c>
      <c r="B24" s="17" t="s">
        <v>449</v>
      </c>
      <c r="C24" s="17" t="s">
        <v>450</v>
      </c>
      <c r="D24" s="18">
        <v>1015042</v>
      </c>
      <c r="E24" s="18">
        <v>2</v>
      </c>
      <c r="F24" s="18"/>
      <c r="G24" s="18">
        <v>380</v>
      </c>
      <c r="H24" s="18">
        <v>6.2</v>
      </c>
      <c r="I24" s="18" t="s">
        <v>460</v>
      </c>
      <c r="J24" s="18" t="s">
        <v>88</v>
      </c>
      <c r="K24" s="18" t="b">
        <v>0</v>
      </c>
      <c r="L24" s="14">
        <v>2015</v>
      </c>
      <c r="M24" s="15">
        <v>0.37540000000000001</v>
      </c>
      <c r="N24" s="19">
        <v>41453</v>
      </c>
      <c r="O24" s="19">
        <v>41453</v>
      </c>
    </row>
    <row r="25" spans="1:15">
      <c r="A25" s="16">
        <v>2013</v>
      </c>
      <c r="B25" s="17" t="s">
        <v>449</v>
      </c>
      <c r="C25" s="17" t="s">
        <v>450</v>
      </c>
      <c r="D25" s="18">
        <v>1015042</v>
      </c>
      <c r="E25" s="18">
        <v>2</v>
      </c>
      <c r="F25" s="18"/>
      <c r="G25" s="18">
        <v>420</v>
      </c>
      <c r="H25" s="18">
        <v>8.1</v>
      </c>
      <c r="I25" s="18" t="s">
        <v>461</v>
      </c>
      <c r="J25" s="18" t="s">
        <v>91</v>
      </c>
      <c r="K25" s="18" t="b">
        <v>0</v>
      </c>
      <c r="L25" s="14">
        <v>2021</v>
      </c>
      <c r="M25" s="15">
        <v>813383</v>
      </c>
      <c r="N25" s="19">
        <v>41453</v>
      </c>
      <c r="O25" s="19">
        <v>41453</v>
      </c>
    </row>
    <row r="26" spans="1:15">
      <c r="A26" s="16">
        <v>2013</v>
      </c>
      <c r="B26" s="17" t="s">
        <v>449</v>
      </c>
      <c r="C26" s="17" t="s">
        <v>450</v>
      </c>
      <c r="D26" s="18">
        <v>1015042</v>
      </c>
      <c r="E26" s="18">
        <v>2</v>
      </c>
      <c r="F26" s="18"/>
      <c r="G26" s="18">
        <v>20</v>
      </c>
      <c r="H26" s="18">
        <v>1.1000000000000001</v>
      </c>
      <c r="I26" s="18"/>
      <c r="J26" s="18" t="s">
        <v>38</v>
      </c>
      <c r="K26" s="18" t="b">
        <v>1</v>
      </c>
      <c r="L26" s="14">
        <v>2020</v>
      </c>
      <c r="M26" s="15">
        <v>8499749</v>
      </c>
      <c r="N26" s="19">
        <v>41453</v>
      </c>
      <c r="O26" s="19">
        <v>41453</v>
      </c>
    </row>
    <row r="27" spans="1:15">
      <c r="A27" s="16">
        <v>2013</v>
      </c>
      <c r="B27" s="17" t="s">
        <v>449</v>
      </c>
      <c r="C27" s="17" t="s">
        <v>450</v>
      </c>
      <c r="D27" s="18">
        <v>1015042</v>
      </c>
      <c r="E27" s="18">
        <v>2</v>
      </c>
      <c r="F27" s="18"/>
      <c r="G27" s="18">
        <v>480</v>
      </c>
      <c r="H27" s="18">
        <v>9.4</v>
      </c>
      <c r="I27" s="18" t="s">
        <v>458</v>
      </c>
      <c r="J27" s="18" t="s">
        <v>95</v>
      </c>
      <c r="K27" s="18" t="b">
        <v>0</v>
      </c>
      <c r="L27" s="14">
        <v>2020</v>
      </c>
      <c r="M27" s="15">
        <v>7.22E-2</v>
      </c>
      <c r="N27" s="19">
        <v>41453</v>
      </c>
      <c r="O27" s="19">
        <v>41453</v>
      </c>
    </row>
    <row r="28" spans="1:15">
      <c r="A28" s="16">
        <v>2013</v>
      </c>
      <c r="B28" s="17" t="s">
        <v>449</v>
      </c>
      <c r="C28" s="17" t="s">
        <v>450</v>
      </c>
      <c r="D28" s="18">
        <v>1015042</v>
      </c>
      <c r="E28" s="18">
        <v>2</v>
      </c>
      <c r="F28" s="18"/>
      <c r="G28" s="18">
        <v>480</v>
      </c>
      <c r="H28" s="18">
        <v>9.4</v>
      </c>
      <c r="I28" s="18" t="s">
        <v>458</v>
      </c>
      <c r="J28" s="18" t="s">
        <v>95</v>
      </c>
      <c r="K28" s="18" t="b">
        <v>0</v>
      </c>
      <c r="L28" s="14">
        <v>2022</v>
      </c>
      <c r="M28" s="15">
        <v>1.8E-3</v>
      </c>
      <c r="N28" s="19">
        <v>41453</v>
      </c>
      <c r="O28" s="19">
        <v>41453</v>
      </c>
    </row>
    <row r="29" spans="1:15">
      <c r="A29" s="16">
        <v>2013</v>
      </c>
      <c r="B29" s="17" t="s">
        <v>449</v>
      </c>
      <c r="C29" s="17" t="s">
        <v>450</v>
      </c>
      <c r="D29" s="18">
        <v>1015042</v>
      </c>
      <c r="E29" s="18">
        <v>2</v>
      </c>
      <c r="F29" s="18"/>
      <c r="G29" s="18">
        <v>530</v>
      </c>
      <c r="H29" s="18">
        <v>9.8000000000000007</v>
      </c>
      <c r="I29" s="18" t="s">
        <v>456</v>
      </c>
      <c r="J29" s="18" t="s">
        <v>103</v>
      </c>
      <c r="K29" s="18" t="b">
        <v>0</v>
      </c>
      <c r="L29" s="14">
        <v>2019</v>
      </c>
      <c r="M29" s="15">
        <v>106</v>
      </c>
      <c r="N29" s="19">
        <v>41453</v>
      </c>
      <c r="O29" s="19">
        <v>41453</v>
      </c>
    </row>
    <row r="30" spans="1:15">
      <c r="A30" s="16">
        <v>2013</v>
      </c>
      <c r="B30" s="17" t="s">
        <v>449</v>
      </c>
      <c r="C30" s="17" t="s">
        <v>450</v>
      </c>
      <c r="D30" s="18">
        <v>1015042</v>
      </c>
      <c r="E30" s="18">
        <v>2</v>
      </c>
      <c r="F30" s="18"/>
      <c r="G30" s="18">
        <v>550</v>
      </c>
      <c r="H30" s="18">
        <v>10</v>
      </c>
      <c r="I30" s="18"/>
      <c r="J30" s="18" t="s">
        <v>106</v>
      </c>
      <c r="K30" s="18" t="b">
        <v>0</v>
      </c>
      <c r="L30" s="14">
        <v>2021</v>
      </c>
      <c r="M30" s="15">
        <v>490000</v>
      </c>
      <c r="N30" s="19">
        <v>41453</v>
      </c>
      <c r="O30" s="19">
        <v>41453</v>
      </c>
    </row>
    <row r="31" spans="1:15">
      <c r="A31" s="16">
        <v>2013</v>
      </c>
      <c r="B31" s="17" t="s">
        <v>449</v>
      </c>
      <c r="C31" s="17" t="s">
        <v>450</v>
      </c>
      <c r="D31" s="18">
        <v>1015042</v>
      </c>
      <c r="E31" s="18">
        <v>2</v>
      </c>
      <c r="F31" s="18"/>
      <c r="G31" s="18">
        <v>130</v>
      </c>
      <c r="H31" s="18">
        <v>2.1</v>
      </c>
      <c r="I31" s="18"/>
      <c r="J31" s="18" t="s">
        <v>56</v>
      </c>
      <c r="K31" s="18" t="b">
        <v>1</v>
      </c>
      <c r="L31" s="14">
        <v>2016</v>
      </c>
      <c r="M31" s="15">
        <v>7218393</v>
      </c>
      <c r="N31" s="19">
        <v>41453</v>
      </c>
      <c r="O31" s="19">
        <v>41453</v>
      </c>
    </row>
    <row r="32" spans="1:15">
      <c r="A32" s="16">
        <v>2013</v>
      </c>
      <c r="B32" s="17" t="s">
        <v>449</v>
      </c>
      <c r="C32" s="17" t="s">
        <v>450</v>
      </c>
      <c r="D32" s="18">
        <v>1015042</v>
      </c>
      <c r="E32" s="18">
        <v>2</v>
      </c>
      <c r="F32" s="18"/>
      <c r="G32" s="18">
        <v>430</v>
      </c>
      <c r="H32" s="18">
        <v>8.1999999999999993</v>
      </c>
      <c r="I32" s="18" t="s">
        <v>462</v>
      </c>
      <c r="J32" s="18" t="s">
        <v>92</v>
      </c>
      <c r="K32" s="18" t="b">
        <v>0</v>
      </c>
      <c r="L32" s="14">
        <v>2016</v>
      </c>
      <c r="M32" s="15">
        <v>700072</v>
      </c>
      <c r="N32" s="19">
        <v>41453</v>
      </c>
      <c r="O32" s="19">
        <v>41453</v>
      </c>
    </row>
    <row r="33" spans="1:15">
      <c r="A33" s="16">
        <v>2013</v>
      </c>
      <c r="B33" s="17" t="s">
        <v>449</v>
      </c>
      <c r="C33" s="17" t="s">
        <v>450</v>
      </c>
      <c r="D33" s="18">
        <v>1015042</v>
      </c>
      <c r="E33" s="18">
        <v>2</v>
      </c>
      <c r="F33" s="18"/>
      <c r="G33" s="18">
        <v>740</v>
      </c>
      <c r="H33" s="18" t="s">
        <v>131</v>
      </c>
      <c r="I33" s="18"/>
      <c r="J33" s="18" t="s">
        <v>132</v>
      </c>
      <c r="K33" s="18" t="b">
        <v>0</v>
      </c>
      <c r="L33" s="14">
        <v>2013</v>
      </c>
      <c r="M33" s="15">
        <v>8415</v>
      </c>
      <c r="N33" s="19">
        <v>41453</v>
      </c>
      <c r="O33" s="19">
        <v>41453</v>
      </c>
    </row>
    <row r="34" spans="1:15">
      <c r="A34" s="16">
        <v>2013</v>
      </c>
      <c r="B34" s="17" t="s">
        <v>449</v>
      </c>
      <c r="C34" s="17" t="s">
        <v>450</v>
      </c>
      <c r="D34" s="18">
        <v>1015042</v>
      </c>
      <c r="E34" s="18">
        <v>2</v>
      </c>
      <c r="F34" s="18"/>
      <c r="G34" s="18">
        <v>480</v>
      </c>
      <c r="H34" s="18">
        <v>9.4</v>
      </c>
      <c r="I34" s="18" t="s">
        <v>458</v>
      </c>
      <c r="J34" s="18" t="s">
        <v>95</v>
      </c>
      <c r="K34" s="18" t="b">
        <v>0</v>
      </c>
      <c r="L34" s="14">
        <v>2017</v>
      </c>
      <c r="M34" s="15">
        <v>6.54E-2</v>
      </c>
      <c r="N34" s="19">
        <v>41453</v>
      </c>
      <c r="O34" s="19">
        <v>41453</v>
      </c>
    </row>
    <row r="35" spans="1:15">
      <c r="A35" s="16">
        <v>2013</v>
      </c>
      <c r="B35" s="17" t="s">
        <v>449</v>
      </c>
      <c r="C35" s="17" t="s">
        <v>450</v>
      </c>
      <c r="D35" s="18">
        <v>1015042</v>
      </c>
      <c r="E35" s="18">
        <v>2</v>
      </c>
      <c r="F35" s="18"/>
      <c r="G35" s="18">
        <v>70</v>
      </c>
      <c r="H35" s="18" t="s">
        <v>47</v>
      </c>
      <c r="I35" s="18"/>
      <c r="J35" s="18" t="s">
        <v>48</v>
      </c>
      <c r="K35" s="18" t="b">
        <v>1</v>
      </c>
      <c r="L35" s="14">
        <v>2016</v>
      </c>
      <c r="M35" s="15">
        <v>3231891</v>
      </c>
      <c r="N35" s="19">
        <v>41453</v>
      </c>
      <c r="O35" s="19">
        <v>41453</v>
      </c>
    </row>
    <row r="36" spans="1:15">
      <c r="A36" s="16">
        <v>2013</v>
      </c>
      <c r="B36" s="17" t="s">
        <v>449</v>
      </c>
      <c r="C36" s="17" t="s">
        <v>450</v>
      </c>
      <c r="D36" s="18">
        <v>1015042</v>
      </c>
      <c r="E36" s="18">
        <v>2</v>
      </c>
      <c r="F36" s="18"/>
      <c r="G36" s="18">
        <v>200</v>
      </c>
      <c r="H36" s="18">
        <v>3</v>
      </c>
      <c r="I36" s="18" t="s">
        <v>451</v>
      </c>
      <c r="J36" s="18" t="s">
        <v>21</v>
      </c>
      <c r="K36" s="18" t="b">
        <v>0</v>
      </c>
      <c r="L36" s="14">
        <v>2016</v>
      </c>
      <c r="M36" s="15">
        <v>387205</v>
      </c>
      <c r="N36" s="19">
        <v>41453</v>
      </c>
      <c r="O36" s="19">
        <v>41453</v>
      </c>
    </row>
    <row r="37" spans="1:15">
      <c r="A37" s="16">
        <v>2013</v>
      </c>
      <c r="B37" s="17" t="s">
        <v>449</v>
      </c>
      <c r="C37" s="17" t="s">
        <v>450</v>
      </c>
      <c r="D37" s="18">
        <v>1015042</v>
      </c>
      <c r="E37" s="18">
        <v>2</v>
      </c>
      <c r="F37" s="18"/>
      <c r="G37" s="18">
        <v>260</v>
      </c>
      <c r="H37" s="18">
        <v>4.3</v>
      </c>
      <c r="I37" s="18"/>
      <c r="J37" s="18" t="s">
        <v>74</v>
      </c>
      <c r="K37" s="18" t="b">
        <v>1</v>
      </c>
      <c r="L37" s="14">
        <v>2013</v>
      </c>
      <c r="M37" s="15">
        <v>2281489</v>
      </c>
      <c r="N37" s="19">
        <v>41453</v>
      </c>
      <c r="O37" s="19">
        <v>41453</v>
      </c>
    </row>
    <row r="38" spans="1:15">
      <c r="A38" s="16">
        <v>2013</v>
      </c>
      <c r="B38" s="17" t="s">
        <v>449</v>
      </c>
      <c r="C38" s="17" t="s">
        <v>450</v>
      </c>
      <c r="D38" s="18">
        <v>1015042</v>
      </c>
      <c r="E38" s="18">
        <v>2</v>
      </c>
      <c r="F38" s="18"/>
      <c r="G38" s="18">
        <v>390</v>
      </c>
      <c r="H38" s="18">
        <v>6.3</v>
      </c>
      <c r="I38" s="18" t="s">
        <v>459</v>
      </c>
      <c r="J38" s="18" t="s">
        <v>89</v>
      </c>
      <c r="K38" s="18" t="b">
        <v>0</v>
      </c>
      <c r="L38" s="14">
        <v>2019</v>
      </c>
      <c r="M38" s="15">
        <v>0.1263</v>
      </c>
      <c r="N38" s="19">
        <v>41453</v>
      </c>
      <c r="O38" s="19">
        <v>41453</v>
      </c>
    </row>
    <row r="39" spans="1:15">
      <c r="A39" s="16">
        <v>2013</v>
      </c>
      <c r="B39" s="17" t="s">
        <v>449</v>
      </c>
      <c r="C39" s="17" t="s">
        <v>450</v>
      </c>
      <c r="D39" s="18">
        <v>1015042</v>
      </c>
      <c r="E39" s="18">
        <v>2</v>
      </c>
      <c r="F39" s="18"/>
      <c r="G39" s="18">
        <v>470</v>
      </c>
      <c r="H39" s="18">
        <v>9.3000000000000007</v>
      </c>
      <c r="I39" s="18" t="s">
        <v>453</v>
      </c>
      <c r="J39" s="18" t="s">
        <v>454</v>
      </c>
      <c r="K39" s="18" t="b">
        <v>1</v>
      </c>
      <c r="L39" s="14">
        <v>2017</v>
      </c>
      <c r="M39" s="15">
        <v>6.54E-2</v>
      </c>
      <c r="N39" s="19">
        <v>41453</v>
      </c>
      <c r="O39" s="19">
        <v>41453</v>
      </c>
    </row>
    <row r="40" spans="1:15">
      <c r="A40" s="16">
        <v>2013</v>
      </c>
      <c r="B40" s="17" t="s">
        <v>449</v>
      </c>
      <c r="C40" s="17" t="s">
        <v>450</v>
      </c>
      <c r="D40" s="18">
        <v>1015042</v>
      </c>
      <c r="E40" s="18">
        <v>2</v>
      </c>
      <c r="F40" s="18"/>
      <c r="G40" s="18">
        <v>60</v>
      </c>
      <c r="H40" s="18" t="s">
        <v>45</v>
      </c>
      <c r="I40" s="18"/>
      <c r="J40" s="18" t="s">
        <v>46</v>
      </c>
      <c r="K40" s="18" t="b">
        <v>1</v>
      </c>
      <c r="L40" s="14">
        <v>2016</v>
      </c>
      <c r="M40" s="15">
        <v>1182149</v>
      </c>
      <c r="N40" s="19">
        <v>41453</v>
      </c>
      <c r="O40" s="19">
        <v>41453</v>
      </c>
    </row>
    <row r="41" spans="1:15">
      <c r="A41" s="16">
        <v>2013</v>
      </c>
      <c r="B41" s="17" t="s">
        <v>449</v>
      </c>
      <c r="C41" s="17" t="s">
        <v>450</v>
      </c>
      <c r="D41" s="18">
        <v>1015042</v>
      </c>
      <c r="E41" s="18">
        <v>2</v>
      </c>
      <c r="F41" s="18"/>
      <c r="G41" s="18">
        <v>520</v>
      </c>
      <c r="H41" s="18" t="s">
        <v>101</v>
      </c>
      <c r="I41" s="18"/>
      <c r="J41" s="18" t="s">
        <v>463</v>
      </c>
      <c r="K41" s="18" t="b">
        <v>1</v>
      </c>
      <c r="L41" s="14">
        <v>2022</v>
      </c>
      <c r="M41" s="15">
        <v>9.1700000000000004E-2</v>
      </c>
      <c r="N41" s="19">
        <v>41453</v>
      </c>
      <c r="O41" s="19">
        <v>41453</v>
      </c>
    </row>
    <row r="42" spans="1:15">
      <c r="A42" s="16">
        <v>2013</v>
      </c>
      <c r="B42" s="17" t="s">
        <v>449</v>
      </c>
      <c r="C42" s="17" t="s">
        <v>450</v>
      </c>
      <c r="D42" s="18">
        <v>1015042</v>
      </c>
      <c r="E42" s="18">
        <v>2</v>
      </c>
      <c r="F42" s="18"/>
      <c r="G42" s="18">
        <v>190</v>
      </c>
      <c r="H42" s="18">
        <v>2.2000000000000002</v>
      </c>
      <c r="I42" s="18"/>
      <c r="J42" s="18" t="s">
        <v>67</v>
      </c>
      <c r="K42" s="18" t="b">
        <v>0</v>
      </c>
      <c r="L42" s="14">
        <v>2013</v>
      </c>
      <c r="M42" s="15">
        <v>3893456</v>
      </c>
      <c r="N42" s="19">
        <v>41453</v>
      </c>
      <c r="O42" s="19">
        <v>41453</v>
      </c>
    </row>
    <row r="43" spans="1:15">
      <c r="A43" s="16">
        <v>2013</v>
      </c>
      <c r="B43" s="17" t="s">
        <v>449</v>
      </c>
      <c r="C43" s="17" t="s">
        <v>450</v>
      </c>
      <c r="D43" s="18">
        <v>1015042</v>
      </c>
      <c r="E43" s="18">
        <v>2</v>
      </c>
      <c r="F43" s="18"/>
      <c r="G43" s="18">
        <v>120</v>
      </c>
      <c r="H43" s="18">
        <v>2</v>
      </c>
      <c r="I43" s="18" t="s">
        <v>464</v>
      </c>
      <c r="J43" s="18" t="s">
        <v>19</v>
      </c>
      <c r="K43" s="18" t="b">
        <v>0</v>
      </c>
      <c r="L43" s="14">
        <v>2021</v>
      </c>
      <c r="M43" s="15">
        <v>8173741</v>
      </c>
      <c r="N43" s="19">
        <v>41453</v>
      </c>
      <c r="O43" s="19">
        <v>41453</v>
      </c>
    </row>
    <row r="44" spans="1:15">
      <c r="A44" s="16">
        <v>2013</v>
      </c>
      <c r="B44" s="17" t="s">
        <v>449</v>
      </c>
      <c r="C44" s="17" t="s">
        <v>450</v>
      </c>
      <c r="D44" s="18">
        <v>1015042</v>
      </c>
      <c r="E44" s="18">
        <v>2</v>
      </c>
      <c r="F44" s="18"/>
      <c r="G44" s="18">
        <v>640</v>
      </c>
      <c r="H44" s="18">
        <v>11.5</v>
      </c>
      <c r="I44" s="18"/>
      <c r="J44" s="18" t="s">
        <v>117</v>
      </c>
      <c r="K44" s="18" t="b">
        <v>1</v>
      </c>
      <c r="L44" s="14">
        <v>2013</v>
      </c>
      <c r="M44" s="15">
        <v>1198402</v>
      </c>
      <c r="N44" s="19">
        <v>41453</v>
      </c>
      <c r="O44" s="19">
        <v>41453</v>
      </c>
    </row>
    <row r="45" spans="1:15">
      <c r="A45" s="16">
        <v>2013</v>
      </c>
      <c r="B45" s="17" t="s">
        <v>449</v>
      </c>
      <c r="C45" s="17" t="s">
        <v>450</v>
      </c>
      <c r="D45" s="18">
        <v>1015042</v>
      </c>
      <c r="E45" s="18">
        <v>2</v>
      </c>
      <c r="F45" s="18"/>
      <c r="G45" s="18">
        <v>505</v>
      </c>
      <c r="H45" s="18" t="s">
        <v>98</v>
      </c>
      <c r="I45" s="18" t="s">
        <v>455</v>
      </c>
      <c r="J45" s="18" t="s">
        <v>99</v>
      </c>
      <c r="K45" s="18" t="b">
        <v>0</v>
      </c>
      <c r="L45" s="14">
        <v>2021</v>
      </c>
      <c r="M45" s="15">
        <v>9.3899999999999997E-2</v>
      </c>
      <c r="N45" s="19">
        <v>41453</v>
      </c>
      <c r="O45" s="19">
        <v>41453</v>
      </c>
    </row>
    <row r="46" spans="1:15">
      <c r="A46" s="16">
        <v>2013</v>
      </c>
      <c r="B46" s="17" t="s">
        <v>449</v>
      </c>
      <c r="C46" s="17" t="s">
        <v>450</v>
      </c>
      <c r="D46" s="18">
        <v>1015042</v>
      </c>
      <c r="E46" s="18">
        <v>2</v>
      </c>
      <c r="F46" s="18"/>
      <c r="G46" s="18">
        <v>480</v>
      </c>
      <c r="H46" s="18">
        <v>9.4</v>
      </c>
      <c r="I46" s="18" t="s">
        <v>458</v>
      </c>
      <c r="J46" s="18" t="s">
        <v>95</v>
      </c>
      <c r="K46" s="18" t="b">
        <v>0</v>
      </c>
      <c r="L46" s="14">
        <v>2019</v>
      </c>
      <c r="M46" s="15">
        <v>7.7499999999999999E-2</v>
      </c>
      <c r="N46" s="19">
        <v>41453</v>
      </c>
      <c r="O46" s="19">
        <v>41453</v>
      </c>
    </row>
    <row r="47" spans="1:15">
      <c r="A47" s="16">
        <v>2013</v>
      </c>
      <c r="B47" s="17" t="s">
        <v>449</v>
      </c>
      <c r="C47" s="17" t="s">
        <v>450</v>
      </c>
      <c r="D47" s="18">
        <v>1015042</v>
      </c>
      <c r="E47" s="18">
        <v>2</v>
      </c>
      <c r="F47" s="18"/>
      <c r="G47" s="18">
        <v>770</v>
      </c>
      <c r="H47" s="18" t="s">
        <v>136</v>
      </c>
      <c r="I47" s="18"/>
      <c r="J47" s="18" t="s">
        <v>137</v>
      </c>
      <c r="K47" s="18" t="b">
        <v>1</v>
      </c>
      <c r="L47" s="14">
        <v>2013</v>
      </c>
      <c r="M47" s="15">
        <v>500000</v>
      </c>
      <c r="N47" s="19">
        <v>41453</v>
      </c>
      <c r="O47" s="19">
        <v>41453</v>
      </c>
    </row>
    <row r="48" spans="1:15">
      <c r="A48" s="16">
        <v>2013</v>
      </c>
      <c r="B48" s="17" t="s">
        <v>449</v>
      </c>
      <c r="C48" s="17" t="s">
        <v>450</v>
      </c>
      <c r="D48" s="18">
        <v>1015042</v>
      </c>
      <c r="E48" s="18">
        <v>2</v>
      </c>
      <c r="F48" s="18"/>
      <c r="G48" s="18">
        <v>540</v>
      </c>
      <c r="H48" s="18" t="s">
        <v>104</v>
      </c>
      <c r="I48" s="18" t="s">
        <v>452</v>
      </c>
      <c r="J48" s="18" t="s">
        <v>105</v>
      </c>
      <c r="K48" s="18" t="b">
        <v>0</v>
      </c>
      <c r="L48" s="14">
        <v>2014</v>
      </c>
      <c r="M48" s="15">
        <v>41</v>
      </c>
      <c r="N48" s="19">
        <v>41453</v>
      </c>
      <c r="O48" s="19">
        <v>41453</v>
      </c>
    </row>
    <row r="49" spans="1:15">
      <c r="A49" s="16">
        <v>2013</v>
      </c>
      <c r="B49" s="17" t="s">
        <v>449</v>
      </c>
      <c r="C49" s="17" t="s">
        <v>450</v>
      </c>
      <c r="D49" s="18">
        <v>1015042</v>
      </c>
      <c r="E49" s="18">
        <v>2</v>
      </c>
      <c r="F49" s="18"/>
      <c r="G49" s="18">
        <v>880</v>
      </c>
      <c r="H49" s="18">
        <v>14.1</v>
      </c>
      <c r="I49" s="18"/>
      <c r="J49" s="18" t="s">
        <v>149</v>
      </c>
      <c r="K49" s="18" t="b">
        <v>1</v>
      </c>
      <c r="L49" s="14">
        <v>2016</v>
      </c>
      <c r="M49" s="15">
        <v>273515</v>
      </c>
      <c r="N49" s="19">
        <v>41453</v>
      </c>
      <c r="O49" s="19">
        <v>41453</v>
      </c>
    </row>
    <row r="50" spans="1:15">
      <c r="A50" s="16">
        <v>2013</v>
      </c>
      <c r="B50" s="17" t="s">
        <v>449</v>
      </c>
      <c r="C50" s="17" t="s">
        <v>450</v>
      </c>
      <c r="D50" s="18">
        <v>1015042</v>
      </c>
      <c r="E50" s="18">
        <v>2</v>
      </c>
      <c r="F50" s="18"/>
      <c r="G50" s="18">
        <v>10</v>
      </c>
      <c r="H50" s="18">
        <v>1</v>
      </c>
      <c r="I50" s="18" t="s">
        <v>457</v>
      </c>
      <c r="J50" s="18" t="s">
        <v>24</v>
      </c>
      <c r="K50" s="18" t="b">
        <v>1</v>
      </c>
      <c r="L50" s="14">
        <v>2022</v>
      </c>
      <c r="M50" s="15">
        <v>8835653</v>
      </c>
      <c r="N50" s="19">
        <v>41453</v>
      </c>
      <c r="O50" s="19">
        <v>41453</v>
      </c>
    </row>
    <row r="51" spans="1:15">
      <c r="A51" s="16">
        <v>2013</v>
      </c>
      <c r="B51" s="17" t="s">
        <v>449</v>
      </c>
      <c r="C51" s="17" t="s">
        <v>450</v>
      </c>
      <c r="D51" s="18">
        <v>1015042</v>
      </c>
      <c r="E51" s="18">
        <v>2</v>
      </c>
      <c r="F51" s="18"/>
      <c r="G51" s="18">
        <v>170</v>
      </c>
      <c r="H51" s="18" t="s">
        <v>63</v>
      </c>
      <c r="I51" s="18"/>
      <c r="J51" s="18" t="s">
        <v>64</v>
      </c>
      <c r="K51" s="18" t="b">
        <v>1</v>
      </c>
      <c r="L51" s="14">
        <v>2013</v>
      </c>
      <c r="M51" s="15">
        <v>100000</v>
      </c>
      <c r="N51" s="19">
        <v>41453</v>
      </c>
      <c r="O51" s="19">
        <v>41453</v>
      </c>
    </row>
    <row r="52" spans="1:15">
      <c r="A52" s="16">
        <v>2013</v>
      </c>
      <c r="B52" s="17" t="s">
        <v>449</v>
      </c>
      <c r="C52" s="17" t="s">
        <v>450</v>
      </c>
      <c r="D52" s="18">
        <v>1015042</v>
      </c>
      <c r="E52" s="18">
        <v>2</v>
      </c>
      <c r="F52" s="18"/>
      <c r="G52" s="18">
        <v>500</v>
      </c>
      <c r="H52" s="18">
        <v>9.6</v>
      </c>
      <c r="I52" s="18" t="s">
        <v>465</v>
      </c>
      <c r="J52" s="18" t="s">
        <v>97</v>
      </c>
      <c r="K52" s="18" t="b">
        <v>0</v>
      </c>
      <c r="L52" s="14">
        <v>2013</v>
      </c>
      <c r="M52" s="15">
        <v>5.0099999999999999E-2</v>
      </c>
      <c r="N52" s="19">
        <v>41453</v>
      </c>
      <c r="O52" s="19">
        <v>41453</v>
      </c>
    </row>
    <row r="53" spans="1:15">
      <c r="A53" s="16">
        <v>2013</v>
      </c>
      <c r="B53" s="17" t="s">
        <v>449</v>
      </c>
      <c r="C53" s="17" t="s">
        <v>450</v>
      </c>
      <c r="D53" s="18">
        <v>1015042</v>
      </c>
      <c r="E53" s="18">
        <v>2</v>
      </c>
      <c r="F53" s="18"/>
      <c r="G53" s="18">
        <v>505</v>
      </c>
      <c r="H53" s="18" t="s">
        <v>98</v>
      </c>
      <c r="I53" s="18" t="s">
        <v>455</v>
      </c>
      <c r="J53" s="18" t="s">
        <v>99</v>
      </c>
      <c r="K53" s="18" t="b">
        <v>0</v>
      </c>
      <c r="L53" s="14">
        <v>2013</v>
      </c>
      <c r="M53" s="15">
        <v>8.0500000000000002E-2</v>
      </c>
      <c r="N53" s="19">
        <v>41453</v>
      </c>
      <c r="O53" s="19">
        <v>41453</v>
      </c>
    </row>
    <row r="54" spans="1:15">
      <c r="A54" s="16">
        <v>2013</v>
      </c>
      <c r="B54" s="17" t="s">
        <v>449</v>
      </c>
      <c r="C54" s="17" t="s">
        <v>450</v>
      </c>
      <c r="D54" s="18">
        <v>1015042</v>
      </c>
      <c r="E54" s="18">
        <v>2</v>
      </c>
      <c r="F54" s="18"/>
      <c r="G54" s="18">
        <v>480</v>
      </c>
      <c r="H54" s="18">
        <v>9.4</v>
      </c>
      <c r="I54" s="18" t="s">
        <v>458</v>
      </c>
      <c r="J54" s="18" t="s">
        <v>95</v>
      </c>
      <c r="K54" s="18" t="b">
        <v>0</v>
      </c>
      <c r="L54" s="14">
        <v>2013</v>
      </c>
      <c r="M54" s="15">
        <v>5.0099999999999999E-2</v>
      </c>
      <c r="N54" s="19">
        <v>41453</v>
      </c>
      <c r="O54" s="19">
        <v>41453</v>
      </c>
    </row>
    <row r="55" spans="1:15">
      <c r="A55" s="16">
        <v>2013</v>
      </c>
      <c r="B55" s="17" t="s">
        <v>449</v>
      </c>
      <c r="C55" s="17" t="s">
        <v>450</v>
      </c>
      <c r="D55" s="18">
        <v>1015042</v>
      </c>
      <c r="E55" s="18">
        <v>2</v>
      </c>
      <c r="F55" s="18"/>
      <c r="G55" s="18">
        <v>20</v>
      </c>
      <c r="H55" s="18">
        <v>1.1000000000000001</v>
      </c>
      <c r="I55" s="18"/>
      <c r="J55" s="18" t="s">
        <v>38</v>
      </c>
      <c r="K55" s="18" t="b">
        <v>1</v>
      </c>
      <c r="L55" s="14">
        <v>2014</v>
      </c>
      <c r="M55" s="15">
        <v>7658635</v>
      </c>
      <c r="N55" s="19">
        <v>41453</v>
      </c>
      <c r="O55" s="19">
        <v>41453</v>
      </c>
    </row>
    <row r="56" spans="1:15">
      <c r="A56" s="16">
        <v>2013</v>
      </c>
      <c r="B56" s="17" t="s">
        <v>449</v>
      </c>
      <c r="C56" s="17" t="s">
        <v>450</v>
      </c>
      <c r="D56" s="18">
        <v>1015042</v>
      </c>
      <c r="E56" s="18">
        <v>2</v>
      </c>
      <c r="F56" s="18"/>
      <c r="G56" s="18">
        <v>380</v>
      </c>
      <c r="H56" s="18">
        <v>6.2</v>
      </c>
      <c r="I56" s="18" t="s">
        <v>460</v>
      </c>
      <c r="J56" s="18" t="s">
        <v>88</v>
      </c>
      <c r="K56" s="18" t="b">
        <v>0</v>
      </c>
      <c r="L56" s="14">
        <v>2016</v>
      </c>
      <c r="M56" s="15">
        <v>0.31569999999999998</v>
      </c>
      <c r="N56" s="19">
        <v>41453</v>
      </c>
      <c r="O56" s="19">
        <v>41453</v>
      </c>
    </row>
    <row r="57" spans="1:15">
      <c r="A57" s="16">
        <v>2013</v>
      </c>
      <c r="B57" s="17" t="s">
        <v>449</v>
      </c>
      <c r="C57" s="17" t="s">
        <v>450</v>
      </c>
      <c r="D57" s="18">
        <v>1015042</v>
      </c>
      <c r="E57" s="18">
        <v>2</v>
      </c>
      <c r="F57" s="18"/>
      <c r="G57" s="18">
        <v>500</v>
      </c>
      <c r="H57" s="18">
        <v>9.6</v>
      </c>
      <c r="I57" s="18" t="s">
        <v>465</v>
      </c>
      <c r="J57" s="18" t="s">
        <v>97</v>
      </c>
      <c r="K57" s="18" t="b">
        <v>0</v>
      </c>
      <c r="L57" s="14">
        <v>2020</v>
      </c>
      <c r="M57" s="15">
        <v>7.22E-2</v>
      </c>
      <c r="N57" s="19">
        <v>41453</v>
      </c>
      <c r="O57" s="19">
        <v>41453</v>
      </c>
    </row>
    <row r="58" spans="1:15">
      <c r="A58" s="16">
        <v>2013</v>
      </c>
      <c r="B58" s="17" t="s">
        <v>449</v>
      </c>
      <c r="C58" s="17" t="s">
        <v>450</v>
      </c>
      <c r="D58" s="18">
        <v>1015042</v>
      </c>
      <c r="E58" s="18">
        <v>2</v>
      </c>
      <c r="F58" s="18"/>
      <c r="G58" s="18">
        <v>470</v>
      </c>
      <c r="H58" s="18">
        <v>9.3000000000000007</v>
      </c>
      <c r="I58" s="18" t="s">
        <v>453</v>
      </c>
      <c r="J58" s="18" t="s">
        <v>454</v>
      </c>
      <c r="K58" s="18" t="b">
        <v>1</v>
      </c>
      <c r="L58" s="14">
        <v>2016</v>
      </c>
      <c r="M58" s="15">
        <v>6.83E-2</v>
      </c>
      <c r="N58" s="19">
        <v>41453</v>
      </c>
      <c r="O58" s="19">
        <v>41453</v>
      </c>
    </row>
    <row r="59" spans="1:15">
      <c r="A59" s="16">
        <v>2013</v>
      </c>
      <c r="B59" s="17" t="s">
        <v>449</v>
      </c>
      <c r="C59" s="17" t="s">
        <v>450</v>
      </c>
      <c r="D59" s="18">
        <v>1015042</v>
      </c>
      <c r="E59" s="18">
        <v>2</v>
      </c>
      <c r="F59" s="18"/>
      <c r="G59" s="18">
        <v>730</v>
      </c>
      <c r="H59" s="18">
        <v>12.3</v>
      </c>
      <c r="I59" s="18"/>
      <c r="J59" s="18" t="s">
        <v>130</v>
      </c>
      <c r="K59" s="18" t="b">
        <v>0</v>
      </c>
      <c r="L59" s="14">
        <v>2013</v>
      </c>
      <c r="M59" s="15">
        <v>9900</v>
      </c>
      <c r="N59" s="19">
        <v>41453</v>
      </c>
      <c r="O59" s="19">
        <v>41453</v>
      </c>
    </row>
    <row r="60" spans="1:15">
      <c r="A60" s="16">
        <v>2013</v>
      </c>
      <c r="B60" s="17" t="s">
        <v>449</v>
      </c>
      <c r="C60" s="17" t="s">
        <v>450</v>
      </c>
      <c r="D60" s="18">
        <v>1015042</v>
      </c>
      <c r="E60" s="18">
        <v>2</v>
      </c>
      <c r="F60" s="18"/>
      <c r="G60" s="18">
        <v>170</v>
      </c>
      <c r="H60" s="18" t="s">
        <v>63</v>
      </c>
      <c r="I60" s="18"/>
      <c r="J60" s="18" t="s">
        <v>64</v>
      </c>
      <c r="K60" s="18" t="b">
        <v>1</v>
      </c>
      <c r="L60" s="14">
        <v>2019</v>
      </c>
      <c r="M60" s="15">
        <v>97022</v>
      </c>
      <c r="N60" s="19">
        <v>41453</v>
      </c>
      <c r="O60" s="19">
        <v>41453</v>
      </c>
    </row>
    <row r="61" spans="1:15">
      <c r="A61" s="16">
        <v>2013</v>
      </c>
      <c r="B61" s="17" t="s">
        <v>449</v>
      </c>
      <c r="C61" s="17" t="s">
        <v>450</v>
      </c>
      <c r="D61" s="18">
        <v>1015042</v>
      </c>
      <c r="E61" s="18">
        <v>2</v>
      </c>
      <c r="F61" s="18"/>
      <c r="G61" s="18">
        <v>670</v>
      </c>
      <c r="H61" s="18">
        <v>12.1</v>
      </c>
      <c r="I61" s="18"/>
      <c r="J61" s="18" t="s">
        <v>120</v>
      </c>
      <c r="K61" s="18" t="b">
        <v>1</v>
      </c>
      <c r="L61" s="14">
        <v>2013</v>
      </c>
      <c r="M61" s="15">
        <v>1485</v>
      </c>
      <c r="N61" s="19">
        <v>41453</v>
      </c>
      <c r="O61" s="19">
        <v>41453</v>
      </c>
    </row>
    <row r="62" spans="1:15">
      <c r="A62" s="16">
        <v>2013</v>
      </c>
      <c r="B62" s="17" t="s">
        <v>449</v>
      </c>
      <c r="C62" s="17" t="s">
        <v>450</v>
      </c>
      <c r="D62" s="18">
        <v>1015042</v>
      </c>
      <c r="E62" s="18">
        <v>2</v>
      </c>
      <c r="F62" s="18"/>
      <c r="G62" s="18">
        <v>170</v>
      </c>
      <c r="H62" s="18" t="s">
        <v>63</v>
      </c>
      <c r="I62" s="18"/>
      <c r="J62" s="18" t="s">
        <v>64</v>
      </c>
      <c r="K62" s="18" t="b">
        <v>1</v>
      </c>
      <c r="L62" s="14">
        <v>2014</v>
      </c>
      <c r="M62" s="15">
        <v>193787</v>
      </c>
      <c r="N62" s="19">
        <v>41453</v>
      </c>
      <c r="O62" s="19">
        <v>41453</v>
      </c>
    </row>
    <row r="63" spans="1:15">
      <c r="A63" s="16">
        <v>2013</v>
      </c>
      <c r="B63" s="17" t="s">
        <v>449</v>
      </c>
      <c r="C63" s="17" t="s">
        <v>450</v>
      </c>
      <c r="D63" s="18">
        <v>1015042</v>
      </c>
      <c r="E63" s="18">
        <v>2</v>
      </c>
      <c r="F63" s="18"/>
      <c r="G63" s="18">
        <v>500</v>
      </c>
      <c r="H63" s="18">
        <v>9.6</v>
      </c>
      <c r="I63" s="18" t="s">
        <v>465</v>
      </c>
      <c r="J63" s="18" t="s">
        <v>97</v>
      </c>
      <c r="K63" s="18" t="b">
        <v>0</v>
      </c>
      <c r="L63" s="14">
        <v>2017</v>
      </c>
      <c r="M63" s="15">
        <v>6.54E-2</v>
      </c>
      <c r="N63" s="19">
        <v>41453</v>
      </c>
      <c r="O63" s="19">
        <v>41453</v>
      </c>
    </row>
    <row r="64" spans="1:15">
      <c r="A64" s="16">
        <v>2013</v>
      </c>
      <c r="B64" s="17" t="s">
        <v>449</v>
      </c>
      <c r="C64" s="17" t="s">
        <v>450</v>
      </c>
      <c r="D64" s="18">
        <v>1015042</v>
      </c>
      <c r="E64" s="18">
        <v>2</v>
      </c>
      <c r="F64" s="18"/>
      <c r="G64" s="18">
        <v>20</v>
      </c>
      <c r="H64" s="18">
        <v>1.1000000000000001</v>
      </c>
      <c r="I64" s="18"/>
      <c r="J64" s="18" t="s">
        <v>38</v>
      </c>
      <c r="K64" s="18" t="b">
        <v>1</v>
      </c>
      <c r="L64" s="14">
        <v>2018</v>
      </c>
      <c r="M64" s="15">
        <v>8194608</v>
      </c>
      <c r="N64" s="19">
        <v>41453</v>
      </c>
      <c r="O64" s="19">
        <v>41453</v>
      </c>
    </row>
    <row r="65" spans="1:15">
      <c r="A65" s="16">
        <v>2013</v>
      </c>
      <c r="B65" s="17" t="s">
        <v>449</v>
      </c>
      <c r="C65" s="17" t="s">
        <v>450</v>
      </c>
      <c r="D65" s="18">
        <v>1015042</v>
      </c>
      <c r="E65" s="18">
        <v>2</v>
      </c>
      <c r="F65" s="18"/>
      <c r="G65" s="18">
        <v>20</v>
      </c>
      <c r="H65" s="18">
        <v>1.1000000000000001</v>
      </c>
      <c r="I65" s="18"/>
      <c r="J65" s="18" t="s">
        <v>38</v>
      </c>
      <c r="K65" s="18" t="b">
        <v>1</v>
      </c>
      <c r="L65" s="14">
        <v>2017</v>
      </c>
      <c r="M65" s="15">
        <v>8053018</v>
      </c>
      <c r="N65" s="19">
        <v>41453</v>
      </c>
      <c r="O65" s="19">
        <v>41453</v>
      </c>
    </row>
    <row r="66" spans="1:15">
      <c r="A66" s="16">
        <v>2013</v>
      </c>
      <c r="B66" s="17" t="s">
        <v>449</v>
      </c>
      <c r="C66" s="17" t="s">
        <v>450</v>
      </c>
      <c r="D66" s="18">
        <v>1015042</v>
      </c>
      <c r="E66" s="18">
        <v>2</v>
      </c>
      <c r="F66" s="18"/>
      <c r="G66" s="18">
        <v>470</v>
      </c>
      <c r="H66" s="18">
        <v>9.3000000000000007</v>
      </c>
      <c r="I66" s="18" t="s">
        <v>453</v>
      </c>
      <c r="J66" s="18" t="s">
        <v>454</v>
      </c>
      <c r="K66" s="18" t="b">
        <v>1</v>
      </c>
      <c r="L66" s="14">
        <v>2022</v>
      </c>
      <c r="M66" s="15">
        <v>1.8E-3</v>
      </c>
      <c r="N66" s="19">
        <v>41453</v>
      </c>
      <c r="O66" s="19">
        <v>41453</v>
      </c>
    </row>
    <row r="67" spans="1:15">
      <c r="A67" s="16">
        <v>2013</v>
      </c>
      <c r="B67" s="17" t="s">
        <v>449</v>
      </c>
      <c r="C67" s="17" t="s">
        <v>450</v>
      </c>
      <c r="D67" s="18">
        <v>1015042</v>
      </c>
      <c r="E67" s="18">
        <v>2</v>
      </c>
      <c r="F67" s="18"/>
      <c r="G67" s="18">
        <v>550</v>
      </c>
      <c r="H67" s="18">
        <v>10</v>
      </c>
      <c r="I67" s="18"/>
      <c r="J67" s="18" t="s">
        <v>106</v>
      </c>
      <c r="K67" s="18" t="b">
        <v>0</v>
      </c>
      <c r="L67" s="14">
        <v>2015</v>
      </c>
      <c r="M67" s="15">
        <v>431751</v>
      </c>
      <c r="N67" s="19">
        <v>41453</v>
      </c>
      <c r="O67" s="19">
        <v>41453</v>
      </c>
    </row>
    <row r="68" spans="1:15">
      <c r="A68" s="16">
        <v>2013</v>
      </c>
      <c r="B68" s="17" t="s">
        <v>449</v>
      </c>
      <c r="C68" s="17" t="s">
        <v>450</v>
      </c>
      <c r="D68" s="18">
        <v>1015042</v>
      </c>
      <c r="E68" s="18">
        <v>2</v>
      </c>
      <c r="F68" s="18"/>
      <c r="G68" s="18">
        <v>200</v>
      </c>
      <c r="H68" s="18">
        <v>3</v>
      </c>
      <c r="I68" s="18" t="s">
        <v>451</v>
      </c>
      <c r="J68" s="18" t="s">
        <v>21</v>
      </c>
      <c r="K68" s="18" t="b">
        <v>0</v>
      </c>
      <c r="L68" s="14">
        <v>2013</v>
      </c>
      <c r="M68" s="15">
        <v>-2356529</v>
      </c>
      <c r="N68" s="19">
        <v>41453</v>
      </c>
      <c r="O68" s="19">
        <v>41453</v>
      </c>
    </row>
    <row r="69" spans="1:15">
      <c r="A69" s="16">
        <v>2013</v>
      </c>
      <c r="B69" s="17" t="s">
        <v>449</v>
      </c>
      <c r="C69" s="17" t="s">
        <v>450</v>
      </c>
      <c r="D69" s="18">
        <v>1015042</v>
      </c>
      <c r="E69" s="18">
        <v>2</v>
      </c>
      <c r="F69" s="18"/>
      <c r="G69" s="18">
        <v>30</v>
      </c>
      <c r="H69" s="18" t="s">
        <v>39</v>
      </c>
      <c r="I69" s="18"/>
      <c r="J69" s="18" t="s">
        <v>40</v>
      </c>
      <c r="K69" s="18" t="b">
        <v>1</v>
      </c>
      <c r="L69" s="14">
        <v>2014</v>
      </c>
      <c r="M69" s="15">
        <v>808238</v>
      </c>
      <c r="N69" s="19">
        <v>41453</v>
      </c>
      <c r="O69" s="19">
        <v>41453</v>
      </c>
    </row>
    <row r="70" spans="1:15">
      <c r="A70" s="16">
        <v>2013</v>
      </c>
      <c r="B70" s="17" t="s">
        <v>449</v>
      </c>
      <c r="C70" s="17" t="s">
        <v>450</v>
      </c>
      <c r="D70" s="18">
        <v>1015042</v>
      </c>
      <c r="E70" s="18">
        <v>2</v>
      </c>
      <c r="F70" s="18"/>
      <c r="G70" s="18">
        <v>180</v>
      </c>
      <c r="H70" s="18" t="s">
        <v>65</v>
      </c>
      <c r="I70" s="18"/>
      <c r="J70" s="18" t="s">
        <v>66</v>
      </c>
      <c r="K70" s="18" t="b">
        <v>0</v>
      </c>
      <c r="L70" s="14">
        <v>2019</v>
      </c>
      <c r="M70" s="15">
        <v>97022</v>
      </c>
      <c r="N70" s="19">
        <v>41453</v>
      </c>
      <c r="O70" s="19">
        <v>41453</v>
      </c>
    </row>
    <row r="71" spans="1:15">
      <c r="A71" s="16">
        <v>2013</v>
      </c>
      <c r="B71" s="17" t="s">
        <v>449</v>
      </c>
      <c r="C71" s="17" t="s">
        <v>450</v>
      </c>
      <c r="D71" s="18">
        <v>1015042</v>
      </c>
      <c r="E71" s="18">
        <v>2</v>
      </c>
      <c r="F71" s="18"/>
      <c r="G71" s="18">
        <v>530</v>
      </c>
      <c r="H71" s="18">
        <v>9.8000000000000007</v>
      </c>
      <c r="I71" s="18" t="s">
        <v>456</v>
      </c>
      <c r="J71" s="18" t="s">
        <v>103</v>
      </c>
      <c r="K71" s="18" t="b">
        <v>0</v>
      </c>
      <c r="L71" s="14">
        <v>2014</v>
      </c>
      <c r="M71" s="15">
        <v>3</v>
      </c>
      <c r="N71" s="19">
        <v>41453</v>
      </c>
      <c r="O71" s="19">
        <v>41453</v>
      </c>
    </row>
    <row r="72" spans="1:15">
      <c r="A72" s="16">
        <v>2013</v>
      </c>
      <c r="B72" s="17" t="s">
        <v>449</v>
      </c>
      <c r="C72" s="17" t="s">
        <v>450</v>
      </c>
      <c r="D72" s="18">
        <v>1015042</v>
      </c>
      <c r="E72" s="18">
        <v>2</v>
      </c>
      <c r="F72" s="18"/>
      <c r="G72" s="18">
        <v>300</v>
      </c>
      <c r="H72" s="18">
        <v>5</v>
      </c>
      <c r="I72" s="18" t="s">
        <v>466</v>
      </c>
      <c r="J72" s="18" t="s">
        <v>78</v>
      </c>
      <c r="K72" s="18" t="b">
        <v>0</v>
      </c>
      <c r="L72" s="14">
        <v>2019</v>
      </c>
      <c r="M72" s="15">
        <v>550000</v>
      </c>
      <c r="N72" s="19">
        <v>41453</v>
      </c>
      <c r="O72" s="19">
        <v>41453</v>
      </c>
    </row>
    <row r="73" spans="1:15">
      <c r="A73" s="16">
        <v>2013</v>
      </c>
      <c r="B73" s="17" t="s">
        <v>449</v>
      </c>
      <c r="C73" s="17" t="s">
        <v>450</v>
      </c>
      <c r="D73" s="18">
        <v>1015042</v>
      </c>
      <c r="E73" s="18">
        <v>2</v>
      </c>
      <c r="F73" s="18"/>
      <c r="G73" s="18">
        <v>460</v>
      </c>
      <c r="H73" s="18">
        <v>9.1999999999999993</v>
      </c>
      <c r="I73" s="18" t="s">
        <v>458</v>
      </c>
      <c r="J73" s="18" t="s">
        <v>94</v>
      </c>
      <c r="K73" s="18" t="b">
        <v>0</v>
      </c>
      <c r="L73" s="14">
        <v>2020</v>
      </c>
      <c r="M73" s="15">
        <v>7.22E-2</v>
      </c>
      <c r="N73" s="19">
        <v>41453</v>
      </c>
      <c r="O73" s="19">
        <v>41453</v>
      </c>
    </row>
    <row r="74" spans="1:15">
      <c r="A74" s="16">
        <v>2013</v>
      </c>
      <c r="B74" s="17" t="s">
        <v>449</v>
      </c>
      <c r="C74" s="17" t="s">
        <v>450</v>
      </c>
      <c r="D74" s="18">
        <v>1015042</v>
      </c>
      <c r="E74" s="18">
        <v>2</v>
      </c>
      <c r="F74" s="18"/>
      <c r="G74" s="18">
        <v>380</v>
      </c>
      <c r="H74" s="18">
        <v>6.2</v>
      </c>
      <c r="I74" s="18" t="s">
        <v>460</v>
      </c>
      <c r="J74" s="18" t="s">
        <v>88</v>
      </c>
      <c r="K74" s="18" t="b">
        <v>0</v>
      </c>
      <c r="L74" s="14">
        <v>2018</v>
      </c>
      <c r="M74" s="15">
        <v>0.19570000000000001</v>
      </c>
      <c r="N74" s="19">
        <v>41453</v>
      </c>
      <c r="O74" s="19">
        <v>41453</v>
      </c>
    </row>
    <row r="75" spans="1:15">
      <c r="A75" s="16">
        <v>2013</v>
      </c>
      <c r="B75" s="17" t="s">
        <v>449</v>
      </c>
      <c r="C75" s="17" t="s">
        <v>450</v>
      </c>
      <c r="D75" s="18">
        <v>1015042</v>
      </c>
      <c r="E75" s="18">
        <v>2</v>
      </c>
      <c r="F75" s="18"/>
      <c r="G75" s="18">
        <v>530</v>
      </c>
      <c r="H75" s="18">
        <v>9.8000000000000007</v>
      </c>
      <c r="I75" s="18" t="s">
        <v>456</v>
      </c>
      <c r="J75" s="18" t="s">
        <v>103</v>
      </c>
      <c r="K75" s="18" t="b">
        <v>0</v>
      </c>
      <c r="L75" s="14">
        <v>2017</v>
      </c>
      <c r="M75" s="15">
        <v>200</v>
      </c>
      <c r="N75" s="19">
        <v>41453</v>
      </c>
      <c r="O75" s="19">
        <v>41453</v>
      </c>
    </row>
    <row r="76" spans="1:15">
      <c r="A76" s="16">
        <v>2013</v>
      </c>
      <c r="B76" s="17" t="s">
        <v>449</v>
      </c>
      <c r="C76" s="17" t="s">
        <v>450</v>
      </c>
      <c r="D76" s="18">
        <v>1015042</v>
      </c>
      <c r="E76" s="18">
        <v>2</v>
      </c>
      <c r="F76" s="18"/>
      <c r="G76" s="18">
        <v>550</v>
      </c>
      <c r="H76" s="18">
        <v>10</v>
      </c>
      <c r="I76" s="18"/>
      <c r="J76" s="18" t="s">
        <v>106</v>
      </c>
      <c r="K76" s="18" t="b">
        <v>0</v>
      </c>
      <c r="L76" s="14">
        <v>2019</v>
      </c>
      <c r="M76" s="15">
        <v>550000</v>
      </c>
      <c r="N76" s="19">
        <v>41453</v>
      </c>
      <c r="O76" s="19">
        <v>41453</v>
      </c>
    </row>
    <row r="77" spans="1:15">
      <c r="A77" s="16">
        <v>2013</v>
      </c>
      <c r="B77" s="17" t="s">
        <v>449</v>
      </c>
      <c r="C77" s="17" t="s">
        <v>450</v>
      </c>
      <c r="D77" s="18">
        <v>1015042</v>
      </c>
      <c r="E77" s="18">
        <v>2</v>
      </c>
      <c r="F77" s="18"/>
      <c r="G77" s="18">
        <v>520</v>
      </c>
      <c r="H77" s="18" t="s">
        <v>101</v>
      </c>
      <c r="I77" s="18"/>
      <c r="J77" s="18" t="s">
        <v>463</v>
      </c>
      <c r="K77" s="18" t="b">
        <v>1</v>
      </c>
      <c r="L77" s="14">
        <v>2020</v>
      </c>
      <c r="M77" s="15">
        <v>8.8499999999999995E-2</v>
      </c>
      <c r="N77" s="19">
        <v>41453</v>
      </c>
      <c r="O77" s="19">
        <v>41453</v>
      </c>
    </row>
    <row r="78" spans="1:15">
      <c r="A78" s="16">
        <v>2013</v>
      </c>
      <c r="B78" s="17" t="s">
        <v>449</v>
      </c>
      <c r="C78" s="17" t="s">
        <v>450</v>
      </c>
      <c r="D78" s="18">
        <v>1015042</v>
      </c>
      <c r="E78" s="18">
        <v>2</v>
      </c>
      <c r="F78" s="18"/>
      <c r="G78" s="18">
        <v>380</v>
      </c>
      <c r="H78" s="18">
        <v>6.2</v>
      </c>
      <c r="I78" s="18" t="s">
        <v>460</v>
      </c>
      <c r="J78" s="18" t="s">
        <v>88</v>
      </c>
      <c r="K78" s="18" t="b">
        <v>0</v>
      </c>
      <c r="L78" s="14">
        <v>2013</v>
      </c>
      <c r="M78" s="15">
        <v>0.38080000000000003</v>
      </c>
      <c r="N78" s="19">
        <v>41453</v>
      </c>
      <c r="O78" s="19">
        <v>41453</v>
      </c>
    </row>
    <row r="79" spans="1:15">
      <c r="A79" s="16">
        <v>2013</v>
      </c>
      <c r="B79" s="17" t="s">
        <v>449</v>
      </c>
      <c r="C79" s="17" t="s">
        <v>450</v>
      </c>
      <c r="D79" s="18">
        <v>1015042</v>
      </c>
      <c r="E79" s="18">
        <v>2</v>
      </c>
      <c r="F79" s="18"/>
      <c r="G79" s="18">
        <v>130</v>
      </c>
      <c r="H79" s="18">
        <v>2.1</v>
      </c>
      <c r="I79" s="18"/>
      <c r="J79" s="18" t="s">
        <v>56</v>
      </c>
      <c r="K79" s="18" t="b">
        <v>1</v>
      </c>
      <c r="L79" s="14">
        <v>2021</v>
      </c>
      <c r="M79" s="15">
        <v>7850358</v>
      </c>
      <c r="N79" s="19">
        <v>41453</v>
      </c>
      <c r="O79" s="19">
        <v>41453</v>
      </c>
    </row>
    <row r="80" spans="1:15">
      <c r="A80" s="16">
        <v>2013</v>
      </c>
      <c r="B80" s="17" t="s">
        <v>449</v>
      </c>
      <c r="C80" s="17" t="s">
        <v>450</v>
      </c>
      <c r="D80" s="18">
        <v>1015042</v>
      </c>
      <c r="E80" s="18">
        <v>2</v>
      </c>
      <c r="F80" s="18"/>
      <c r="G80" s="18">
        <v>310</v>
      </c>
      <c r="H80" s="18">
        <v>5.0999999999999996</v>
      </c>
      <c r="I80" s="18"/>
      <c r="J80" s="18" t="s">
        <v>79</v>
      </c>
      <c r="K80" s="18" t="b">
        <v>1</v>
      </c>
      <c r="L80" s="14">
        <v>2013</v>
      </c>
      <c r="M80" s="15">
        <v>336951</v>
      </c>
      <c r="N80" s="19">
        <v>41453</v>
      </c>
      <c r="O80" s="19">
        <v>41453</v>
      </c>
    </row>
    <row r="81" spans="1:15">
      <c r="A81" s="16">
        <v>2013</v>
      </c>
      <c r="B81" s="17" t="s">
        <v>449</v>
      </c>
      <c r="C81" s="17" t="s">
        <v>450</v>
      </c>
      <c r="D81" s="18">
        <v>1015042</v>
      </c>
      <c r="E81" s="18">
        <v>2</v>
      </c>
      <c r="F81" s="18"/>
      <c r="G81" s="18">
        <v>180</v>
      </c>
      <c r="H81" s="18" t="s">
        <v>65</v>
      </c>
      <c r="I81" s="18"/>
      <c r="J81" s="18" t="s">
        <v>66</v>
      </c>
      <c r="K81" s="18" t="b">
        <v>0</v>
      </c>
      <c r="L81" s="14">
        <v>2016</v>
      </c>
      <c r="M81" s="15">
        <v>154005</v>
      </c>
      <c r="N81" s="19">
        <v>41453</v>
      </c>
      <c r="O81" s="19">
        <v>41453</v>
      </c>
    </row>
    <row r="82" spans="1:15">
      <c r="A82" s="16">
        <v>2013</v>
      </c>
      <c r="B82" s="17" t="s">
        <v>449</v>
      </c>
      <c r="C82" s="17" t="s">
        <v>450</v>
      </c>
      <c r="D82" s="18">
        <v>1015042</v>
      </c>
      <c r="E82" s="18">
        <v>2</v>
      </c>
      <c r="F82" s="18"/>
      <c r="G82" s="18">
        <v>500</v>
      </c>
      <c r="H82" s="18">
        <v>9.6</v>
      </c>
      <c r="I82" s="18" t="s">
        <v>465</v>
      </c>
      <c r="J82" s="18" t="s">
        <v>97</v>
      </c>
      <c r="K82" s="18" t="b">
        <v>0</v>
      </c>
      <c r="L82" s="14">
        <v>2022</v>
      </c>
      <c r="M82" s="15">
        <v>1.8E-3</v>
      </c>
      <c r="N82" s="19">
        <v>41453</v>
      </c>
      <c r="O82" s="19">
        <v>41453</v>
      </c>
    </row>
    <row r="83" spans="1:15">
      <c r="A83" s="16">
        <v>2013</v>
      </c>
      <c r="B83" s="17" t="s">
        <v>449</v>
      </c>
      <c r="C83" s="17" t="s">
        <v>450</v>
      </c>
      <c r="D83" s="18">
        <v>1015042</v>
      </c>
      <c r="E83" s="18">
        <v>2</v>
      </c>
      <c r="F83" s="18"/>
      <c r="G83" s="18">
        <v>100</v>
      </c>
      <c r="H83" s="18" t="s">
        <v>52</v>
      </c>
      <c r="I83" s="18"/>
      <c r="J83" s="18" t="s">
        <v>53</v>
      </c>
      <c r="K83" s="18" t="b">
        <v>1</v>
      </c>
      <c r="L83" s="14">
        <v>2013</v>
      </c>
      <c r="M83" s="15">
        <v>494200</v>
      </c>
      <c r="N83" s="19">
        <v>41453</v>
      </c>
      <c r="O83" s="19">
        <v>41453</v>
      </c>
    </row>
    <row r="84" spans="1:15">
      <c r="A84" s="16">
        <v>2013</v>
      </c>
      <c r="B84" s="17" t="s">
        <v>449</v>
      </c>
      <c r="C84" s="17" t="s">
        <v>450</v>
      </c>
      <c r="D84" s="18">
        <v>1015042</v>
      </c>
      <c r="E84" s="18">
        <v>2</v>
      </c>
      <c r="F84" s="18"/>
      <c r="G84" s="18">
        <v>200</v>
      </c>
      <c r="H84" s="18">
        <v>3</v>
      </c>
      <c r="I84" s="18" t="s">
        <v>451</v>
      </c>
      <c r="J84" s="18" t="s">
        <v>21</v>
      </c>
      <c r="K84" s="18" t="b">
        <v>0</v>
      </c>
      <c r="L84" s="14">
        <v>2015</v>
      </c>
      <c r="M84" s="15">
        <v>431751</v>
      </c>
      <c r="N84" s="19">
        <v>41453</v>
      </c>
      <c r="O84" s="19">
        <v>41453</v>
      </c>
    </row>
    <row r="85" spans="1:15">
      <c r="A85" s="16">
        <v>2013</v>
      </c>
      <c r="B85" s="17" t="s">
        <v>449</v>
      </c>
      <c r="C85" s="17" t="s">
        <v>450</v>
      </c>
      <c r="D85" s="18">
        <v>1015042</v>
      </c>
      <c r="E85" s="18">
        <v>2</v>
      </c>
      <c r="F85" s="18"/>
      <c r="G85" s="18">
        <v>380</v>
      </c>
      <c r="H85" s="18">
        <v>6.2</v>
      </c>
      <c r="I85" s="18" t="s">
        <v>460</v>
      </c>
      <c r="J85" s="18" t="s">
        <v>88</v>
      </c>
      <c r="K85" s="18" t="b">
        <v>0</v>
      </c>
      <c r="L85" s="14">
        <v>2021</v>
      </c>
      <c r="M85" s="15">
        <v>1.6000000000000001E-3</v>
      </c>
      <c r="N85" s="19">
        <v>41453</v>
      </c>
      <c r="O85" s="19">
        <v>41453</v>
      </c>
    </row>
    <row r="86" spans="1:15">
      <c r="A86" s="16">
        <v>2013</v>
      </c>
      <c r="B86" s="17" t="s">
        <v>449</v>
      </c>
      <c r="C86" s="17" t="s">
        <v>450</v>
      </c>
      <c r="D86" s="18">
        <v>1015042</v>
      </c>
      <c r="E86" s="18">
        <v>2</v>
      </c>
      <c r="F86" s="18"/>
      <c r="G86" s="18">
        <v>640</v>
      </c>
      <c r="H86" s="18">
        <v>11.5</v>
      </c>
      <c r="I86" s="18"/>
      <c r="J86" s="18" t="s">
        <v>117</v>
      </c>
      <c r="K86" s="18" t="b">
        <v>1</v>
      </c>
      <c r="L86" s="14">
        <v>2015</v>
      </c>
      <c r="M86" s="15">
        <v>134068</v>
      </c>
      <c r="N86" s="19">
        <v>41453</v>
      </c>
      <c r="O86" s="19">
        <v>41453</v>
      </c>
    </row>
    <row r="87" spans="1:15">
      <c r="A87" s="16">
        <v>2013</v>
      </c>
      <c r="B87" s="17" t="s">
        <v>449</v>
      </c>
      <c r="C87" s="17" t="s">
        <v>450</v>
      </c>
      <c r="D87" s="18">
        <v>1015042</v>
      </c>
      <c r="E87" s="18">
        <v>2</v>
      </c>
      <c r="F87" s="18"/>
      <c r="G87" s="18">
        <v>480</v>
      </c>
      <c r="H87" s="18">
        <v>9.4</v>
      </c>
      <c r="I87" s="18" t="s">
        <v>458</v>
      </c>
      <c r="J87" s="18" t="s">
        <v>95</v>
      </c>
      <c r="K87" s="18" t="b">
        <v>0</v>
      </c>
      <c r="L87" s="14">
        <v>2018</v>
      </c>
      <c r="M87" s="15">
        <v>7.5300000000000006E-2</v>
      </c>
      <c r="N87" s="19">
        <v>41453</v>
      </c>
      <c r="O87" s="19">
        <v>41453</v>
      </c>
    </row>
    <row r="88" spans="1:15">
      <c r="A88" s="16">
        <v>2013</v>
      </c>
      <c r="B88" s="17" t="s">
        <v>449</v>
      </c>
      <c r="C88" s="17" t="s">
        <v>450</v>
      </c>
      <c r="D88" s="18">
        <v>1015042</v>
      </c>
      <c r="E88" s="18">
        <v>2</v>
      </c>
      <c r="F88" s="18"/>
      <c r="G88" s="18">
        <v>460</v>
      </c>
      <c r="H88" s="18">
        <v>9.1999999999999993</v>
      </c>
      <c r="I88" s="18" t="s">
        <v>458</v>
      </c>
      <c r="J88" s="18" t="s">
        <v>94</v>
      </c>
      <c r="K88" s="18" t="b">
        <v>0</v>
      </c>
      <c r="L88" s="14">
        <v>2021</v>
      </c>
      <c r="M88" s="15">
        <v>6.0100000000000001E-2</v>
      </c>
      <c r="N88" s="19">
        <v>41453</v>
      </c>
      <c r="O88" s="19">
        <v>41453</v>
      </c>
    </row>
    <row r="89" spans="1:15">
      <c r="A89" s="16">
        <v>2013</v>
      </c>
      <c r="B89" s="17" t="s">
        <v>449</v>
      </c>
      <c r="C89" s="17" t="s">
        <v>450</v>
      </c>
      <c r="D89" s="18">
        <v>1015042</v>
      </c>
      <c r="E89" s="18">
        <v>2</v>
      </c>
      <c r="F89" s="18"/>
      <c r="G89" s="18">
        <v>450</v>
      </c>
      <c r="H89" s="18">
        <v>9.1</v>
      </c>
      <c r="I89" s="18" t="s">
        <v>453</v>
      </c>
      <c r="J89" s="18" t="s">
        <v>93</v>
      </c>
      <c r="K89" s="18" t="b">
        <v>1</v>
      </c>
      <c r="L89" s="14">
        <v>2022</v>
      </c>
      <c r="M89" s="15">
        <v>1.8E-3</v>
      </c>
      <c r="N89" s="19">
        <v>41453</v>
      </c>
      <c r="O89" s="19">
        <v>41453</v>
      </c>
    </row>
    <row r="90" spans="1:15">
      <c r="A90" s="16">
        <v>2013</v>
      </c>
      <c r="B90" s="17" t="s">
        <v>449</v>
      </c>
      <c r="C90" s="17" t="s">
        <v>450</v>
      </c>
      <c r="D90" s="18">
        <v>1015042</v>
      </c>
      <c r="E90" s="18">
        <v>2</v>
      </c>
      <c r="F90" s="18"/>
      <c r="G90" s="18">
        <v>700</v>
      </c>
      <c r="H90" s="18">
        <v>12.2</v>
      </c>
      <c r="I90" s="18"/>
      <c r="J90" s="18" t="s">
        <v>125</v>
      </c>
      <c r="K90" s="18" t="b">
        <v>0</v>
      </c>
      <c r="L90" s="14">
        <v>2013</v>
      </c>
      <c r="M90" s="15">
        <v>779500</v>
      </c>
      <c r="N90" s="19">
        <v>41453</v>
      </c>
      <c r="O90" s="19">
        <v>41453</v>
      </c>
    </row>
    <row r="91" spans="1:15">
      <c r="A91" s="16">
        <v>2013</v>
      </c>
      <c r="B91" s="17" t="s">
        <v>449</v>
      </c>
      <c r="C91" s="17" t="s">
        <v>450</v>
      </c>
      <c r="D91" s="18">
        <v>1015042</v>
      </c>
      <c r="E91" s="18">
        <v>2</v>
      </c>
      <c r="F91" s="18"/>
      <c r="G91" s="18">
        <v>130</v>
      </c>
      <c r="H91" s="18">
        <v>2.1</v>
      </c>
      <c r="I91" s="18"/>
      <c r="J91" s="18" t="s">
        <v>56</v>
      </c>
      <c r="K91" s="18" t="b">
        <v>1</v>
      </c>
      <c r="L91" s="14">
        <v>2015</v>
      </c>
      <c r="M91" s="15">
        <v>7124924</v>
      </c>
      <c r="N91" s="19">
        <v>41453</v>
      </c>
      <c r="O91" s="19">
        <v>41453</v>
      </c>
    </row>
    <row r="92" spans="1:15">
      <c r="A92" s="16">
        <v>2013</v>
      </c>
      <c r="B92" s="17" t="s">
        <v>449</v>
      </c>
      <c r="C92" s="17" t="s">
        <v>450</v>
      </c>
      <c r="D92" s="18">
        <v>1015042</v>
      </c>
      <c r="E92" s="18">
        <v>2</v>
      </c>
      <c r="F92" s="18"/>
      <c r="G92" s="18">
        <v>430</v>
      </c>
      <c r="H92" s="18">
        <v>8.1999999999999993</v>
      </c>
      <c r="I92" s="18" t="s">
        <v>462</v>
      </c>
      <c r="J92" s="18" t="s">
        <v>92</v>
      </c>
      <c r="K92" s="18" t="b">
        <v>0</v>
      </c>
      <c r="L92" s="14">
        <v>2020</v>
      </c>
      <c r="M92" s="15">
        <v>777594</v>
      </c>
      <c r="N92" s="19">
        <v>41453</v>
      </c>
      <c r="O92" s="19">
        <v>41453</v>
      </c>
    </row>
    <row r="93" spans="1:15">
      <c r="A93" s="16">
        <v>2013</v>
      </c>
      <c r="B93" s="17" t="s">
        <v>449</v>
      </c>
      <c r="C93" s="17" t="s">
        <v>450</v>
      </c>
      <c r="D93" s="18">
        <v>1015042</v>
      </c>
      <c r="E93" s="18">
        <v>2</v>
      </c>
      <c r="F93" s="18"/>
      <c r="G93" s="18">
        <v>510</v>
      </c>
      <c r="H93" s="18">
        <v>9.6999999999999993</v>
      </c>
      <c r="I93" s="18"/>
      <c r="J93" s="18" t="s">
        <v>467</v>
      </c>
      <c r="K93" s="18" t="b">
        <v>1</v>
      </c>
      <c r="L93" s="14">
        <v>2021</v>
      </c>
      <c r="M93" s="15">
        <v>8.9700000000000002E-2</v>
      </c>
      <c r="N93" s="19">
        <v>41453</v>
      </c>
      <c r="O93" s="19">
        <v>41453</v>
      </c>
    </row>
    <row r="94" spans="1:15">
      <c r="A94" s="16">
        <v>2013</v>
      </c>
      <c r="B94" s="17" t="s">
        <v>449</v>
      </c>
      <c r="C94" s="17" t="s">
        <v>450</v>
      </c>
      <c r="D94" s="18">
        <v>1015042</v>
      </c>
      <c r="E94" s="18">
        <v>2</v>
      </c>
      <c r="F94" s="18"/>
      <c r="G94" s="18">
        <v>350</v>
      </c>
      <c r="H94" s="18">
        <v>6</v>
      </c>
      <c r="I94" s="18"/>
      <c r="J94" s="18" t="s">
        <v>25</v>
      </c>
      <c r="K94" s="18" t="b">
        <v>1</v>
      </c>
      <c r="L94" s="14">
        <v>2019</v>
      </c>
      <c r="M94" s="15">
        <v>1053948.43</v>
      </c>
      <c r="N94" s="19">
        <v>41453</v>
      </c>
      <c r="O94" s="19">
        <v>41453</v>
      </c>
    </row>
    <row r="95" spans="1:15">
      <c r="A95" s="16">
        <v>2013</v>
      </c>
      <c r="B95" s="17" t="s">
        <v>449</v>
      </c>
      <c r="C95" s="17" t="s">
        <v>450</v>
      </c>
      <c r="D95" s="18">
        <v>1015042</v>
      </c>
      <c r="E95" s="18">
        <v>2</v>
      </c>
      <c r="F95" s="18"/>
      <c r="G95" s="18">
        <v>560</v>
      </c>
      <c r="H95" s="18">
        <v>10.1</v>
      </c>
      <c r="I95" s="18"/>
      <c r="J95" s="18" t="s">
        <v>107</v>
      </c>
      <c r="K95" s="18" t="b">
        <v>0</v>
      </c>
      <c r="L95" s="14">
        <v>2016</v>
      </c>
      <c r="M95" s="15">
        <v>387205</v>
      </c>
      <c r="N95" s="19">
        <v>41453</v>
      </c>
      <c r="O95" s="19">
        <v>41453</v>
      </c>
    </row>
    <row r="96" spans="1:15">
      <c r="A96" s="16">
        <v>2013</v>
      </c>
      <c r="B96" s="17" t="s">
        <v>449</v>
      </c>
      <c r="C96" s="17" t="s">
        <v>450</v>
      </c>
      <c r="D96" s="18">
        <v>1015042</v>
      </c>
      <c r="E96" s="18">
        <v>2</v>
      </c>
      <c r="F96" s="18"/>
      <c r="G96" s="18">
        <v>505</v>
      </c>
      <c r="H96" s="18" t="s">
        <v>98</v>
      </c>
      <c r="I96" s="18" t="s">
        <v>455</v>
      </c>
      <c r="J96" s="18" t="s">
        <v>99</v>
      </c>
      <c r="K96" s="18" t="b">
        <v>0</v>
      </c>
      <c r="L96" s="14">
        <v>2019</v>
      </c>
      <c r="M96" s="15">
        <v>8.9599999999999999E-2</v>
      </c>
      <c r="N96" s="19">
        <v>41453</v>
      </c>
      <c r="O96" s="19">
        <v>41453</v>
      </c>
    </row>
    <row r="97" spans="1:15">
      <c r="A97" s="16">
        <v>2013</v>
      </c>
      <c r="B97" s="17" t="s">
        <v>449</v>
      </c>
      <c r="C97" s="17" t="s">
        <v>450</v>
      </c>
      <c r="D97" s="18">
        <v>1015042</v>
      </c>
      <c r="E97" s="18">
        <v>2</v>
      </c>
      <c r="F97" s="18"/>
      <c r="G97" s="18">
        <v>550</v>
      </c>
      <c r="H97" s="18">
        <v>10</v>
      </c>
      <c r="I97" s="18"/>
      <c r="J97" s="18" t="s">
        <v>106</v>
      </c>
      <c r="K97" s="18" t="b">
        <v>0</v>
      </c>
      <c r="L97" s="14">
        <v>2017</v>
      </c>
      <c r="M97" s="15">
        <v>395853</v>
      </c>
      <c r="N97" s="19">
        <v>41453</v>
      </c>
      <c r="O97" s="19">
        <v>41453</v>
      </c>
    </row>
    <row r="98" spans="1:15">
      <c r="A98" s="16">
        <v>2013</v>
      </c>
      <c r="B98" s="17" t="s">
        <v>449</v>
      </c>
      <c r="C98" s="17" t="s">
        <v>450</v>
      </c>
      <c r="D98" s="18">
        <v>1015042</v>
      </c>
      <c r="E98" s="18">
        <v>2</v>
      </c>
      <c r="F98" s="18"/>
      <c r="G98" s="18">
        <v>130</v>
      </c>
      <c r="H98" s="18">
        <v>2.1</v>
      </c>
      <c r="I98" s="18"/>
      <c r="J98" s="18" t="s">
        <v>56</v>
      </c>
      <c r="K98" s="18" t="b">
        <v>1</v>
      </c>
      <c r="L98" s="14">
        <v>2013</v>
      </c>
      <c r="M98" s="15">
        <v>7177917.0099999998</v>
      </c>
      <c r="N98" s="19">
        <v>41453</v>
      </c>
      <c r="O98" s="19">
        <v>41453</v>
      </c>
    </row>
    <row r="99" spans="1:15">
      <c r="A99" s="16">
        <v>2013</v>
      </c>
      <c r="B99" s="17" t="s">
        <v>449</v>
      </c>
      <c r="C99" s="17" t="s">
        <v>450</v>
      </c>
      <c r="D99" s="18">
        <v>1015042</v>
      </c>
      <c r="E99" s="18">
        <v>2</v>
      </c>
      <c r="F99" s="18"/>
      <c r="G99" s="18">
        <v>170</v>
      </c>
      <c r="H99" s="18" t="s">
        <v>63</v>
      </c>
      <c r="I99" s="18"/>
      <c r="J99" s="18" t="s">
        <v>64</v>
      </c>
      <c r="K99" s="18" t="b">
        <v>1</v>
      </c>
      <c r="L99" s="14">
        <v>2022</v>
      </c>
      <c r="M99" s="15">
        <v>1622</v>
      </c>
      <c r="N99" s="19">
        <v>41453</v>
      </c>
      <c r="O99" s="19">
        <v>41453</v>
      </c>
    </row>
    <row r="100" spans="1:15">
      <c r="A100" s="16">
        <v>2013</v>
      </c>
      <c r="B100" s="17" t="s">
        <v>449</v>
      </c>
      <c r="C100" s="17" t="s">
        <v>450</v>
      </c>
      <c r="D100" s="18">
        <v>1015042</v>
      </c>
      <c r="E100" s="18">
        <v>2</v>
      </c>
      <c r="F100" s="18"/>
      <c r="G100" s="18">
        <v>300</v>
      </c>
      <c r="H100" s="18">
        <v>5</v>
      </c>
      <c r="I100" s="18" t="s">
        <v>466</v>
      </c>
      <c r="J100" s="18" t="s">
        <v>78</v>
      </c>
      <c r="K100" s="18" t="b">
        <v>0</v>
      </c>
      <c r="L100" s="14">
        <v>2022</v>
      </c>
      <c r="M100" s="15">
        <v>13948.43</v>
      </c>
      <c r="N100" s="19">
        <v>41453</v>
      </c>
      <c r="O100" s="19">
        <v>41453</v>
      </c>
    </row>
    <row r="101" spans="1:15">
      <c r="A101" s="16">
        <v>2013</v>
      </c>
      <c r="B101" s="17" t="s">
        <v>449</v>
      </c>
      <c r="C101" s="17" t="s">
        <v>450</v>
      </c>
      <c r="D101" s="18">
        <v>1015042</v>
      </c>
      <c r="E101" s="18">
        <v>2</v>
      </c>
      <c r="F101" s="18"/>
      <c r="G101" s="18">
        <v>170</v>
      </c>
      <c r="H101" s="18" t="s">
        <v>63</v>
      </c>
      <c r="I101" s="18"/>
      <c r="J101" s="18" t="s">
        <v>64</v>
      </c>
      <c r="K101" s="18" t="b">
        <v>1</v>
      </c>
      <c r="L101" s="14">
        <v>2015</v>
      </c>
      <c r="M101" s="15">
        <v>199910</v>
      </c>
      <c r="N101" s="19">
        <v>41453</v>
      </c>
      <c r="O101" s="19">
        <v>41453</v>
      </c>
    </row>
    <row r="102" spans="1:15">
      <c r="A102" s="16">
        <v>2013</v>
      </c>
      <c r="B102" s="17" t="s">
        <v>449</v>
      </c>
      <c r="C102" s="17" t="s">
        <v>450</v>
      </c>
      <c r="D102" s="18">
        <v>1015042</v>
      </c>
      <c r="E102" s="18">
        <v>2</v>
      </c>
      <c r="F102" s="18"/>
      <c r="G102" s="18">
        <v>200</v>
      </c>
      <c r="H102" s="18">
        <v>3</v>
      </c>
      <c r="I102" s="18" t="s">
        <v>451</v>
      </c>
      <c r="J102" s="18" t="s">
        <v>21</v>
      </c>
      <c r="K102" s="18" t="b">
        <v>0</v>
      </c>
      <c r="L102" s="14">
        <v>2021</v>
      </c>
      <c r="M102" s="15">
        <v>490000</v>
      </c>
      <c r="N102" s="19">
        <v>41453</v>
      </c>
      <c r="O102" s="19">
        <v>41453</v>
      </c>
    </row>
    <row r="103" spans="1:15">
      <c r="A103" s="16">
        <v>2013</v>
      </c>
      <c r="B103" s="17" t="s">
        <v>449</v>
      </c>
      <c r="C103" s="17" t="s">
        <v>450</v>
      </c>
      <c r="D103" s="18">
        <v>1015042</v>
      </c>
      <c r="E103" s="18">
        <v>2</v>
      </c>
      <c r="F103" s="18"/>
      <c r="G103" s="18">
        <v>580</v>
      </c>
      <c r="H103" s="18">
        <v>11.1</v>
      </c>
      <c r="I103" s="18"/>
      <c r="J103" s="18" t="s">
        <v>109</v>
      </c>
      <c r="K103" s="18" t="b">
        <v>0</v>
      </c>
      <c r="L103" s="14">
        <v>2014</v>
      </c>
      <c r="M103" s="15">
        <v>3316000</v>
      </c>
      <c r="N103" s="19">
        <v>41453</v>
      </c>
      <c r="O103" s="19">
        <v>41453</v>
      </c>
    </row>
    <row r="104" spans="1:15">
      <c r="A104" s="16">
        <v>2013</v>
      </c>
      <c r="B104" s="17" t="s">
        <v>449</v>
      </c>
      <c r="C104" s="17" t="s">
        <v>450</v>
      </c>
      <c r="D104" s="18">
        <v>1015042</v>
      </c>
      <c r="E104" s="18">
        <v>2</v>
      </c>
      <c r="F104" s="18"/>
      <c r="G104" s="18">
        <v>420</v>
      </c>
      <c r="H104" s="18">
        <v>8.1</v>
      </c>
      <c r="I104" s="18" t="s">
        <v>461</v>
      </c>
      <c r="J104" s="18" t="s">
        <v>91</v>
      </c>
      <c r="K104" s="18" t="b">
        <v>0</v>
      </c>
      <c r="L104" s="14">
        <v>2019</v>
      </c>
      <c r="M104" s="15">
        <v>747490</v>
      </c>
      <c r="N104" s="19">
        <v>41453</v>
      </c>
      <c r="O104" s="19">
        <v>41453</v>
      </c>
    </row>
    <row r="105" spans="1:15">
      <c r="A105" s="16">
        <v>2013</v>
      </c>
      <c r="B105" s="17" t="s">
        <v>449</v>
      </c>
      <c r="C105" s="17" t="s">
        <v>450</v>
      </c>
      <c r="D105" s="18">
        <v>1015042</v>
      </c>
      <c r="E105" s="18">
        <v>2</v>
      </c>
      <c r="F105" s="18"/>
      <c r="G105" s="18">
        <v>520</v>
      </c>
      <c r="H105" s="18" t="s">
        <v>101</v>
      </c>
      <c r="I105" s="18"/>
      <c r="J105" s="18" t="s">
        <v>463</v>
      </c>
      <c r="K105" s="18" t="b">
        <v>1</v>
      </c>
      <c r="L105" s="14">
        <v>2016</v>
      </c>
      <c r="M105" s="15">
        <v>8.2799999999999999E-2</v>
      </c>
      <c r="N105" s="19">
        <v>41453</v>
      </c>
      <c r="O105" s="19">
        <v>41453</v>
      </c>
    </row>
    <row r="106" spans="1:15">
      <c r="A106" s="16">
        <v>2013</v>
      </c>
      <c r="B106" s="17" t="s">
        <v>449</v>
      </c>
      <c r="C106" s="17" t="s">
        <v>450</v>
      </c>
      <c r="D106" s="18">
        <v>1015042</v>
      </c>
      <c r="E106" s="18">
        <v>2</v>
      </c>
      <c r="F106" s="18"/>
      <c r="G106" s="18">
        <v>390</v>
      </c>
      <c r="H106" s="18">
        <v>6.3</v>
      </c>
      <c r="I106" s="18" t="s">
        <v>459</v>
      </c>
      <c r="J106" s="18" t="s">
        <v>89</v>
      </c>
      <c r="K106" s="18" t="b">
        <v>0</v>
      </c>
      <c r="L106" s="14">
        <v>2016</v>
      </c>
      <c r="M106" s="15">
        <v>0.31569999999999998</v>
      </c>
      <c r="N106" s="19">
        <v>41453</v>
      </c>
      <c r="O106" s="19">
        <v>41453</v>
      </c>
    </row>
    <row r="107" spans="1:15">
      <c r="A107" s="16">
        <v>2013</v>
      </c>
      <c r="B107" s="17" t="s">
        <v>449</v>
      </c>
      <c r="C107" s="17" t="s">
        <v>450</v>
      </c>
      <c r="D107" s="18">
        <v>1015042</v>
      </c>
      <c r="E107" s="18">
        <v>2</v>
      </c>
      <c r="F107" s="18"/>
      <c r="G107" s="18">
        <v>20</v>
      </c>
      <c r="H107" s="18">
        <v>1.1000000000000001</v>
      </c>
      <c r="I107" s="18"/>
      <c r="J107" s="18" t="s">
        <v>38</v>
      </c>
      <c r="K107" s="18" t="b">
        <v>1</v>
      </c>
      <c r="L107" s="14">
        <v>2019</v>
      </c>
      <c r="M107" s="15">
        <v>8343446</v>
      </c>
      <c r="N107" s="19">
        <v>41453</v>
      </c>
      <c r="O107" s="19">
        <v>41453</v>
      </c>
    </row>
    <row r="108" spans="1:15">
      <c r="A108" s="16">
        <v>2013</v>
      </c>
      <c r="B108" s="17" t="s">
        <v>449</v>
      </c>
      <c r="C108" s="17" t="s">
        <v>450</v>
      </c>
      <c r="D108" s="18">
        <v>1015042</v>
      </c>
      <c r="E108" s="18">
        <v>2</v>
      </c>
      <c r="F108" s="18"/>
      <c r="G108" s="18">
        <v>130</v>
      </c>
      <c r="H108" s="18">
        <v>2.1</v>
      </c>
      <c r="I108" s="18"/>
      <c r="J108" s="18" t="s">
        <v>56</v>
      </c>
      <c r="K108" s="18" t="b">
        <v>1</v>
      </c>
      <c r="L108" s="14">
        <v>2018</v>
      </c>
      <c r="M108" s="15">
        <v>7473702</v>
      </c>
      <c r="N108" s="19">
        <v>41453</v>
      </c>
      <c r="O108" s="19">
        <v>41453</v>
      </c>
    </row>
    <row r="109" spans="1:15">
      <c r="A109" s="16">
        <v>2013</v>
      </c>
      <c r="B109" s="17" t="s">
        <v>449</v>
      </c>
      <c r="C109" s="17" t="s">
        <v>450</v>
      </c>
      <c r="D109" s="18">
        <v>1015042</v>
      </c>
      <c r="E109" s="18">
        <v>2</v>
      </c>
      <c r="F109" s="18"/>
      <c r="G109" s="18">
        <v>430</v>
      </c>
      <c r="H109" s="18">
        <v>8.1999999999999993</v>
      </c>
      <c r="I109" s="18" t="s">
        <v>462</v>
      </c>
      <c r="J109" s="18" t="s">
        <v>92</v>
      </c>
      <c r="K109" s="18" t="b">
        <v>0</v>
      </c>
      <c r="L109" s="14">
        <v>2018</v>
      </c>
      <c r="M109" s="15">
        <v>720906</v>
      </c>
      <c r="N109" s="19">
        <v>41453</v>
      </c>
      <c r="O109" s="19">
        <v>41453</v>
      </c>
    </row>
    <row r="110" spans="1:15">
      <c r="A110" s="16">
        <v>2013</v>
      </c>
      <c r="B110" s="17" t="s">
        <v>449</v>
      </c>
      <c r="C110" s="17" t="s">
        <v>450</v>
      </c>
      <c r="D110" s="18">
        <v>1015042</v>
      </c>
      <c r="E110" s="18">
        <v>2</v>
      </c>
      <c r="F110" s="18"/>
      <c r="G110" s="18">
        <v>180</v>
      </c>
      <c r="H110" s="18" t="s">
        <v>65</v>
      </c>
      <c r="I110" s="18"/>
      <c r="J110" s="18" t="s">
        <v>66</v>
      </c>
      <c r="K110" s="18" t="b">
        <v>0</v>
      </c>
      <c r="L110" s="14">
        <v>2013</v>
      </c>
      <c r="M110" s="15">
        <v>100000</v>
      </c>
      <c r="N110" s="19">
        <v>41453</v>
      </c>
      <c r="O110" s="19">
        <v>41453</v>
      </c>
    </row>
    <row r="111" spans="1:15">
      <c r="A111" s="16">
        <v>2013</v>
      </c>
      <c r="B111" s="17" t="s">
        <v>449</v>
      </c>
      <c r="C111" s="17" t="s">
        <v>450</v>
      </c>
      <c r="D111" s="18">
        <v>1015042</v>
      </c>
      <c r="E111" s="18">
        <v>2</v>
      </c>
      <c r="F111" s="18"/>
      <c r="G111" s="18">
        <v>630</v>
      </c>
      <c r="H111" s="18">
        <v>11.4</v>
      </c>
      <c r="I111" s="18"/>
      <c r="J111" s="18" t="s">
        <v>116</v>
      </c>
      <c r="K111" s="18" t="b">
        <v>1</v>
      </c>
      <c r="L111" s="14">
        <v>2013</v>
      </c>
      <c r="M111" s="15">
        <v>2655054</v>
      </c>
      <c r="N111" s="19">
        <v>41453</v>
      </c>
      <c r="O111" s="19">
        <v>41453</v>
      </c>
    </row>
    <row r="112" spans="1:15">
      <c r="A112" s="16">
        <v>2013</v>
      </c>
      <c r="B112" s="17" t="s">
        <v>449</v>
      </c>
      <c r="C112" s="17" t="s">
        <v>450</v>
      </c>
      <c r="D112" s="18">
        <v>1015042</v>
      </c>
      <c r="E112" s="18">
        <v>2</v>
      </c>
      <c r="F112" s="18"/>
      <c r="G112" s="18">
        <v>540</v>
      </c>
      <c r="H112" s="18" t="s">
        <v>104</v>
      </c>
      <c r="I112" s="18" t="s">
        <v>452</v>
      </c>
      <c r="J112" s="18" t="s">
        <v>105</v>
      </c>
      <c r="K112" s="18" t="b">
        <v>0</v>
      </c>
      <c r="L112" s="14">
        <v>2015</v>
      </c>
      <c r="M112" s="15">
        <v>145</v>
      </c>
      <c r="N112" s="19">
        <v>41453</v>
      </c>
      <c r="O112" s="19">
        <v>41453</v>
      </c>
    </row>
    <row r="113" spans="1:15">
      <c r="A113" s="16">
        <v>2013</v>
      </c>
      <c r="B113" s="17" t="s">
        <v>449</v>
      </c>
      <c r="C113" s="17" t="s">
        <v>450</v>
      </c>
      <c r="D113" s="18">
        <v>1015042</v>
      </c>
      <c r="E113" s="18">
        <v>2</v>
      </c>
      <c r="F113" s="18"/>
      <c r="G113" s="18">
        <v>460</v>
      </c>
      <c r="H113" s="18">
        <v>9.1999999999999993</v>
      </c>
      <c r="I113" s="18" t="s">
        <v>458</v>
      </c>
      <c r="J113" s="18" t="s">
        <v>94</v>
      </c>
      <c r="K113" s="18" t="b">
        <v>0</v>
      </c>
      <c r="L113" s="14">
        <v>2016</v>
      </c>
      <c r="M113" s="15">
        <v>6.83E-2</v>
      </c>
      <c r="N113" s="19">
        <v>41453</v>
      </c>
      <c r="O113" s="19">
        <v>41453</v>
      </c>
    </row>
    <row r="114" spans="1:15">
      <c r="A114" s="16">
        <v>2013</v>
      </c>
      <c r="B114" s="17" t="s">
        <v>449</v>
      </c>
      <c r="C114" s="17" t="s">
        <v>450</v>
      </c>
      <c r="D114" s="18">
        <v>1015042</v>
      </c>
      <c r="E114" s="18">
        <v>2</v>
      </c>
      <c r="F114" s="18"/>
      <c r="G114" s="18">
        <v>390</v>
      </c>
      <c r="H114" s="18">
        <v>6.3</v>
      </c>
      <c r="I114" s="18" t="s">
        <v>459</v>
      </c>
      <c r="J114" s="18" t="s">
        <v>89</v>
      </c>
      <c r="K114" s="18" t="b">
        <v>0</v>
      </c>
      <c r="L114" s="14">
        <v>2018</v>
      </c>
      <c r="M114" s="15">
        <v>0.19570000000000001</v>
      </c>
      <c r="N114" s="19">
        <v>41453</v>
      </c>
      <c r="O114" s="19">
        <v>41453</v>
      </c>
    </row>
    <row r="115" spans="1:15">
      <c r="A115" s="16">
        <v>2013</v>
      </c>
      <c r="B115" s="17" t="s">
        <v>449</v>
      </c>
      <c r="C115" s="17" t="s">
        <v>450</v>
      </c>
      <c r="D115" s="18">
        <v>1015042</v>
      </c>
      <c r="E115" s="18">
        <v>2</v>
      </c>
      <c r="F115" s="18"/>
      <c r="G115" s="18">
        <v>130</v>
      </c>
      <c r="H115" s="18">
        <v>2.1</v>
      </c>
      <c r="I115" s="18"/>
      <c r="J115" s="18" t="s">
        <v>56</v>
      </c>
      <c r="K115" s="18" t="b">
        <v>1</v>
      </c>
      <c r="L115" s="14">
        <v>2017</v>
      </c>
      <c r="M115" s="15">
        <v>7344101</v>
      </c>
      <c r="N115" s="19">
        <v>41453</v>
      </c>
      <c r="O115" s="19">
        <v>41453</v>
      </c>
    </row>
    <row r="116" spans="1:15">
      <c r="A116" s="16">
        <v>2013</v>
      </c>
      <c r="B116" s="17" t="s">
        <v>449</v>
      </c>
      <c r="C116" s="17" t="s">
        <v>450</v>
      </c>
      <c r="D116" s="18">
        <v>1015042</v>
      </c>
      <c r="E116" s="18">
        <v>2</v>
      </c>
      <c r="F116" s="18"/>
      <c r="G116" s="18">
        <v>180</v>
      </c>
      <c r="H116" s="18" t="s">
        <v>65</v>
      </c>
      <c r="I116" s="18"/>
      <c r="J116" s="18" t="s">
        <v>66</v>
      </c>
      <c r="K116" s="18" t="b">
        <v>0</v>
      </c>
      <c r="L116" s="14">
        <v>2017</v>
      </c>
      <c r="M116" s="15">
        <v>130773</v>
      </c>
      <c r="N116" s="19">
        <v>41453</v>
      </c>
      <c r="O116" s="19">
        <v>41453</v>
      </c>
    </row>
    <row r="117" spans="1:15">
      <c r="A117" s="16">
        <v>2013</v>
      </c>
      <c r="B117" s="17" t="s">
        <v>449</v>
      </c>
      <c r="C117" s="17" t="s">
        <v>450</v>
      </c>
      <c r="D117" s="18">
        <v>1015042</v>
      </c>
      <c r="E117" s="18">
        <v>2</v>
      </c>
      <c r="F117" s="18"/>
      <c r="G117" s="18">
        <v>540</v>
      </c>
      <c r="H117" s="18" t="s">
        <v>104</v>
      </c>
      <c r="I117" s="18" t="s">
        <v>452</v>
      </c>
      <c r="J117" s="18" t="s">
        <v>105</v>
      </c>
      <c r="K117" s="18" t="b">
        <v>0</v>
      </c>
      <c r="L117" s="14">
        <v>2017</v>
      </c>
      <c r="M117" s="15">
        <v>200</v>
      </c>
      <c r="N117" s="19">
        <v>41453</v>
      </c>
      <c r="O117" s="19">
        <v>41453</v>
      </c>
    </row>
    <row r="118" spans="1:15">
      <c r="A118" s="16">
        <v>2013</v>
      </c>
      <c r="B118" s="17" t="s">
        <v>449</v>
      </c>
      <c r="C118" s="17" t="s">
        <v>450</v>
      </c>
      <c r="D118" s="18">
        <v>1015042</v>
      </c>
      <c r="E118" s="18">
        <v>2</v>
      </c>
      <c r="F118" s="18"/>
      <c r="G118" s="18">
        <v>130</v>
      </c>
      <c r="H118" s="18">
        <v>2.1</v>
      </c>
      <c r="I118" s="18"/>
      <c r="J118" s="18" t="s">
        <v>56</v>
      </c>
      <c r="K118" s="18" t="b">
        <v>1</v>
      </c>
      <c r="L118" s="14">
        <v>2022</v>
      </c>
      <c r="M118" s="15">
        <v>7982625</v>
      </c>
      <c r="N118" s="19">
        <v>41453</v>
      </c>
      <c r="O118" s="19">
        <v>41453</v>
      </c>
    </row>
    <row r="119" spans="1:15">
      <c r="A119" s="16">
        <v>2013</v>
      </c>
      <c r="B119" s="17" t="s">
        <v>449</v>
      </c>
      <c r="C119" s="17" t="s">
        <v>450</v>
      </c>
      <c r="D119" s="18">
        <v>1015042</v>
      </c>
      <c r="E119" s="18">
        <v>2</v>
      </c>
      <c r="F119" s="18"/>
      <c r="G119" s="18">
        <v>180</v>
      </c>
      <c r="H119" s="18" t="s">
        <v>65</v>
      </c>
      <c r="I119" s="18"/>
      <c r="J119" s="18" t="s">
        <v>66</v>
      </c>
      <c r="K119" s="18" t="b">
        <v>0</v>
      </c>
      <c r="L119" s="14">
        <v>2015</v>
      </c>
      <c r="M119" s="15">
        <v>199910</v>
      </c>
      <c r="N119" s="19">
        <v>41453</v>
      </c>
      <c r="O119" s="19">
        <v>41453</v>
      </c>
    </row>
    <row r="120" spans="1:15">
      <c r="A120" s="16">
        <v>2013</v>
      </c>
      <c r="B120" s="17" t="s">
        <v>449</v>
      </c>
      <c r="C120" s="17" t="s">
        <v>450</v>
      </c>
      <c r="D120" s="18">
        <v>1015042</v>
      </c>
      <c r="E120" s="18">
        <v>2</v>
      </c>
      <c r="F120" s="18"/>
      <c r="G120" s="18">
        <v>420</v>
      </c>
      <c r="H120" s="18">
        <v>8.1</v>
      </c>
      <c r="I120" s="18" t="s">
        <v>461</v>
      </c>
      <c r="J120" s="18" t="s">
        <v>91</v>
      </c>
      <c r="K120" s="18" t="b">
        <v>0</v>
      </c>
      <c r="L120" s="14">
        <v>2013</v>
      </c>
      <c r="M120" s="15">
        <v>207615</v>
      </c>
      <c r="N120" s="19">
        <v>41453</v>
      </c>
      <c r="O120" s="19">
        <v>41453</v>
      </c>
    </row>
    <row r="121" spans="1:15">
      <c r="A121" s="16">
        <v>2013</v>
      </c>
      <c r="B121" s="17" t="s">
        <v>449</v>
      </c>
      <c r="C121" s="17" t="s">
        <v>450</v>
      </c>
      <c r="D121" s="18">
        <v>1015042</v>
      </c>
      <c r="E121" s="18">
        <v>2</v>
      </c>
      <c r="F121" s="18"/>
      <c r="G121" s="18">
        <v>110</v>
      </c>
      <c r="H121" s="18" t="s">
        <v>54</v>
      </c>
      <c r="I121" s="18"/>
      <c r="J121" s="18" t="s">
        <v>55</v>
      </c>
      <c r="K121" s="18" t="b">
        <v>1</v>
      </c>
      <c r="L121" s="14">
        <v>2013</v>
      </c>
      <c r="M121" s="15">
        <v>835112</v>
      </c>
      <c r="N121" s="19">
        <v>41453</v>
      </c>
      <c r="O121" s="19">
        <v>41453</v>
      </c>
    </row>
    <row r="122" spans="1:15">
      <c r="A122" s="16">
        <v>2013</v>
      </c>
      <c r="B122" s="17" t="s">
        <v>449</v>
      </c>
      <c r="C122" s="17" t="s">
        <v>450</v>
      </c>
      <c r="D122" s="18">
        <v>1015042</v>
      </c>
      <c r="E122" s="18">
        <v>2</v>
      </c>
      <c r="F122" s="18"/>
      <c r="G122" s="18">
        <v>10</v>
      </c>
      <c r="H122" s="18">
        <v>1</v>
      </c>
      <c r="I122" s="18" t="s">
        <v>457</v>
      </c>
      <c r="J122" s="18" t="s">
        <v>24</v>
      </c>
      <c r="K122" s="18" t="b">
        <v>1</v>
      </c>
      <c r="L122" s="14">
        <v>2021</v>
      </c>
      <c r="M122" s="15">
        <v>8663741</v>
      </c>
      <c r="N122" s="19">
        <v>41453</v>
      </c>
      <c r="O122" s="19">
        <v>41453</v>
      </c>
    </row>
    <row r="123" spans="1:15">
      <c r="A123" s="16">
        <v>2013</v>
      </c>
      <c r="B123" s="17" t="s">
        <v>449</v>
      </c>
      <c r="C123" s="17" t="s">
        <v>450</v>
      </c>
      <c r="D123" s="18">
        <v>1015042</v>
      </c>
      <c r="E123" s="18">
        <v>2</v>
      </c>
      <c r="F123" s="18"/>
      <c r="G123" s="18">
        <v>210</v>
      </c>
      <c r="H123" s="18">
        <v>4</v>
      </c>
      <c r="I123" s="18" t="s">
        <v>468</v>
      </c>
      <c r="J123" s="18" t="s">
        <v>22</v>
      </c>
      <c r="K123" s="18" t="b">
        <v>0</v>
      </c>
      <c r="L123" s="14">
        <v>2014</v>
      </c>
      <c r="M123" s="15">
        <v>436151</v>
      </c>
      <c r="N123" s="19">
        <v>41453</v>
      </c>
      <c r="O123" s="19">
        <v>41453</v>
      </c>
    </row>
    <row r="124" spans="1:15">
      <c r="A124" s="16">
        <v>2013</v>
      </c>
      <c r="B124" s="17" t="s">
        <v>449</v>
      </c>
      <c r="C124" s="17" t="s">
        <v>450</v>
      </c>
      <c r="D124" s="18">
        <v>1015042</v>
      </c>
      <c r="E124" s="18">
        <v>2</v>
      </c>
      <c r="F124" s="18"/>
      <c r="G124" s="18">
        <v>200</v>
      </c>
      <c r="H124" s="18">
        <v>3</v>
      </c>
      <c r="I124" s="18" t="s">
        <v>451</v>
      </c>
      <c r="J124" s="18" t="s">
        <v>21</v>
      </c>
      <c r="K124" s="18" t="b">
        <v>0</v>
      </c>
      <c r="L124" s="14">
        <v>2017</v>
      </c>
      <c r="M124" s="15">
        <v>395853</v>
      </c>
      <c r="N124" s="19">
        <v>41453</v>
      </c>
      <c r="O124" s="19">
        <v>41453</v>
      </c>
    </row>
    <row r="125" spans="1:15">
      <c r="A125" s="16">
        <v>2013</v>
      </c>
      <c r="B125" s="17" t="s">
        <v>449</v>
      </c>
      <c r="C125" s="17" t="s">
        <v>450</v>
      </c>
      <c r="D125" s="18">
        <v>1015042</v>
      </c>
      <c r="E125" s="18">
        <v>2</v>
      </c>
      <c r="F125" s="18"/>
      <c r="G125" s="18">
        <v>420</v>
      </c>
      <c r="H125" s="18">
        <v>8.1</v>
      </c>
      <c r="I125" s="18" t="s">
        <v>461</v>
      </c>
      <c r="J125" s="18" t="s">
        <v>91</v>
      </c>
      <c r="K125" s="18" t="b">
        <v>0</v>
      </c>
      <c r="L125" s="14">
        <v>2015</v>
      </c>
      <c r="M125" s="15">
        <v>565819</v>
      </c>
      <c r="N125" s="19">
        <v>41453</v>
      </c>
      <c r="O125" s="19">
        <v>41453</v>
      </c>
    </row>
    <row r="126" spans="1:15">
      <c r="A126" s="16">
        <v>2013</v>
      </c>
      <c r="B126" s="17" t="s">
        <v>449</v>
      </c>
      <c r="C126" s="17" t="s">
        <v>450</v>
      </c>
      <c r="D126" s="18">
        <v>1015042</v>
      </c>
      <c r="E126" s="18">
        <v>2</v>
      </c>
      <c r="F126" s="18"/>
      <c r="G126" s="18">
        <v>590</v>
      </c>
      <c r="H126" s="18">
        <v>11.2</v>
      </c>
      <c r="I126" s="18"/>
      <c r="J126" s="18" t="s">
        <v>110</v>
      </c>
      <c r="K126" s="18" t="b">
        <v>1</v>
      </c>
      <c r="L126" s="14">
        <v>2016</v>
      </c>
      <c r="M126" s="15">
        <v>1269049</v>
      </c>
      <c r="N126" s="19">
        <v>41453</v>
      </c>
      <c r="O126" s="19">
        <v>41453</v>
      </c>
    </row>
    <row r="127" spans="1:15">
      <c r="A127" s="16">
        <v>2013</v>
      </c>
      <c r="B127" s="17" t="s">
        <v>449</v>
      </c>
      <c r="C127" s="17" t="s">
        <v>450</v>
      </c>
      <c r="D127" s="18">
        <v>1015042</v>
      </c>
      <c r="E127" s="18">
        <v>2</v>
      </c>
      <c r="F127" s="18"/>
      <c r="G127" s="18">
        <v>530</v>
      </c>
      <c r="H127" s="18">
        <v>9.8000000000000007</v>
      </c>
      <c r="I127" s="18" t="s">
        <v>456</v>
      </c>
      <c r="J127" s="18" t="s">
        <v>103</v>
      </c>
      <c r="K127" s="18" t="b">
        <v>0</v>
      </c>
      <c r="L127" s="14">
        <v>2021</v>
      </c>
      <c r="M127" s="15">
        <v>296</v>
      </c>
      <c r="N127" s="19">
        <v>41453</v>
      </c>
      <c r="O127" s="19">
        <v>41453</v>
      </c>
    </row>
    <row r="128" spans="1:15">
      <c r="A128" s="16">
        <v>2013</v>
      </c>
      <c r="B128" s="17" t="s">
        <v>449</v>
      </c>
      <c r="C128" s="17" t="s">
        <v>450</v>
      </c>
      <c r="D128" s="18">
        <v>1015042</v>
      </c>
      <c r="E128" s="18">
        <v>2</v>
      </c>
      <c r="F128" s="18"/>
      <c r="G128" s="18">
        <v>505</v>
      </c>
      <c r="H128" s="18" t="s">
        <v>98</v>
      </c>
      <c r="I128" s="18" t="s">
        <v>455</v>
      </c>
      <c r="J128" s="18" t="s">
        <v>99</v>
      </c>
      <c r="K128" s="18" t="b">
        <v>0</v>
      </c>
      <c r="L128" s="14">
        <v>2016</v>
      </c>
      <c r="M128" s="15">
        <v>8.8400000000000006E-2</v>
      </c>
      <c r="N128" s="19">
        <v>41453</v>
      </c>
      <c r="O128" s="19">
        <v>41453</v>
      </c>
    </row>
    <row r="129" spans="1:15">
      <c r="A129" s="16">
        <v>2013</v>
      </c>
      <c r="B129" s="17" t="s">
        <v>449</v>
      </c>
      <c r="C129" s="17" t="s">
        <v>450</v>
      </c>
      <c r="D129" s="18">
        <v>1015042</v>
      </c>
      <c r="E129" s="18">
        <v>2</v>
      </c>
      <c r="F129" s="18"/>
      <c r="G129" s="18">
        <v>460</v>
      </c>
      <c r="H129" s="18">
        <v>9.1999999999999993</v>
      </c>
      <c r="I129" s="18" t="s">
        <v>458</v>
      </c>
      <c r="J129" s="18" t="s">
        <v>94</v>
      </c>
      <c r="K129" s="18" t="b">
        <v>0</v>
      </c>
      <c r="L129" s="14">
        <v>2018</v>
      </c>
      <c r="M129" s="15">
        <v>7.5300000000000006E-2</v>
      </c>
      <c r="N129" s="19">
        <v>41453</v>
      </c>
      <c r="O129" s="19">
        <v>41453</v>
      </c>
    </row>
    <row r="130" spans="1:15">
      <c r="A130" s="16">
        <v>2013</v>
      </c>
      <c r="B130" s="17" t="s">
        <v>449</v>
      </c>
      <c r="C130" s="17" t="s">
        <v>450</v>
      </c>
      <c r="D130" s="18">
        <v>1015042</v>
      </c>
      <c r="E130" s="18">
        <v>2</v>
      </c>
      <c r="F130" s="18"/>
      <c r="G130" s="18">
        <v>750</v>
      </c>
      <c r="H130" s="18" t="s">
        <v>133</v>
      </c>
      <c r="I130" s="18"/>
      <c r="J130" s="18" t="s">
        <v>134</v>
      </c>
      <c r="K130" s="18" t="b">
        <v>0</v>
      </c>
      <c r="L130" s="14">
        <v>2013</v>
      </c>
      <c r="M130" s="15">
        <v>9900</v>
      </c>
      <c r="N130" s="19">
        <v>41453</v>
      </c>
      <c r="O130" s="19">
        <v>41453</v>
      </c>
    </row>
    <row r="131" spans="1:15">
      <c r="A131" s="16">
        <v>2013</v>
      </c>
      <c r="B131" s="17" t="s">
        <v>449</v>
      </c>
      <c r="C131" s="17" t="s">
        <v>450</v>
      </c>
      <c r="D131" s="18">
        <v>1015042</v>
      </c>
      <c r="E131" s="18">
        <v>2</v>
      </c>
      <c r="F131" s="18"/>
      <c r="G131" s="18">
        <v>420</v>
      </c>
      <c r="H131" s="18">
        <v>8.1</v>
      </c>
      <c r="I131" s="18" t="s">
        <v>461</v>
      </c>
      <c r="J131" s="18" t="s">
        <v>91</v>
      </c>
      <c r="K131" s="18" t="b">
        <v>0</v>
      </c>
      <c r="L131" s="14">
        <v>2018</v>
      </c>
      <c r="M131" s="15">
        <v>720906</v>
      </c>
      <c r="N131" s="19">
        <v>41453</v>
      </c>
      <c r="O131" s="19">
        <v>41453</v>
      </c>
    </row>
    <row r="132" spans="1:15">
      <c r="A132" s="16">
        <v>2013</v>
      </c>
      <c r="B132" s="17" t="s">
        <v>449</v>
      </c>
      <c r="C132" s="17" t="s">
        <v>450</v>
      </c>
      <c r="D132" s="18">
        <v>1015042</v>
      </c>
      <c r="E132" s="18">
        <v>2</v>
      </c>
      <c r="F132" s="18"/>
      <c r="G132" s="18">
        <v>120</v>
      </c>
      <c r="H132" s="18">
        <v>2</v>
      </c>
      <c r="I132" s="18" t="s">
        <v>464</v>
      </c>
      <c r="J132" s="18" t="s">
        <v>19</v>
      </c>
      <c r="K132" s="18" t="b">
        <v>0</v>
      </c>
      <c r="L132" s="14">
        <v>2018</v>
      </c>
      <c r="M132" s="15">
        <v>7694608</v>
      </c>
      <c r="N132" s="19">
        <v>41453</v>
      </c>
      <c r="O132" s="19">
        <v>41453</v>
      </c>
    </row>
    <row r="133" spans="1:15">
      <c r="A133" s="16">
        <v>2013</v>
      </c>
      <c r="B133" s="17" t="s">
        <v>449</v>
      </c>
      <c r="C133" s="17" t="s">
        <v>450</v>
      </c>
      <c r="D133" s="18">
        <v>1015042</v>
      </c>
      <c r="E133" s="18">
        <v>2</v>
      </c>
      <c r="F133" s="18"/>
      <c r="G133" s="18">
        <v>20</v>
      </c>
      <c r="H133" s="18">
        <v>1.1000000000000001</v>
      </c>
      <c r="I133" s="18"/>
      <c r="J133" s="18" t="s">
        <v>38</v>
      </c>
      <c r="K133" s="18" t="b">
        <v>1</v>
      </c>
      <c r="L133" s="14">
        <v>2016</v>
      </c>
      <c r="M133" s="15">
        <v>7918465</v>
      </c>
      <c r="N133" s="19">
        <v>41453</v>
      </c>
      <c r="O133" s="19">
        <v>41453</v>
      </c>
    </row>
    <row r="134" spans="1:15">
      <c r="A134" s="16">
        <v>2013</v>
      </c>
      <c r="B134" s="17" t="s">
        <v>449</v>
      </c>
      <c r="C134" s="17" t="s">
        <v>450</v>
      </c>
      <c r="D134" s="18">
        <v>1015042</v>
      </c>
      <c r="E134" s="18">
        <v>2</v>
      </c>
      <c r="F134" s="18"/>
      <c r="G134" s="18">
        <v>450</v>
      </c>
      <c r="H134" s="18">
        <v>9.1</v>
      </c>
      <c r="I134" s="18" t="s">
        <v>453</v>
      </c>
      <c r="J134" s="18" t="s">
        <v>93</v>
      </c>
      <c r="K134" s="18" t="b">
        <v>1</v>
      </c>
      <c r="L134" s="14">
        <v>2018</v>
      </c>
      <c r="M134" s="15">
        <v>7.5300000000000006E-2</v>
      </c>
      <c r="N134" s="19">
        <v>41453</v>
      </c>
      <c r="O134" s="19">
        <v>41453</v>
      </c>
    </row>
    <row r="135" spans="1:15">
      <c r="A135" s="16">
        <v>2013</v>
      </c>
      <c r="B135" s="17" t="s">
        <v>449</v>
      </c>
      <c r="C135" s="17" t="s">
        <v>450</v>
      </c>
      <c r="D135" s="18">
        <v>1015042</v>
      </c>
      <c r="E135" s="18">
        <v>2</v>
      </c>
      <c r="F135" s="18"/>
      <c r="G135" s="18">
        <v>880</v>
      </c>
      <c r="H135" s="18">
        <v>14.1</v>
      </c>
      <c r="I135" s="18"/>
      <c r="J135" s="18" t="s">
        <v>149</v>
      </c>
      <c r="K135" s="18" t="b">
        <v>1</v>
      </c>
      <c r="L135" s="14">
        <v>2017</v>
      </c>
      <c r="M135" s="15">
        <v>165851.43</v>
      </c>
      <c r="N135" s="19">
        <v>41453</v>
      </c>
      <c r="O135" s="19">
        <v>41453</v>
      </c>
    </row>
    <row r="136" spans="1:15">
      <c r="A136" s="16">
        <v>2013</v>
      </c>
      <c r="B136" s="17" t="s">
        <v>449</v>
      </c>
      <c r="C136" s="17" t="s">
        <v>450</v>
      </c>
      <c r="D136" s="18">
        <v>1015042</v>
      </c>
      <c r="E136" s="18">
        <v>2</v>
      </c>
      <c r="F136" s="18"/>
      <c r="G136" s="18">
        <v>300</v>
      </c>
      <c r="H136" s="18">
        <v>5</v>
      </c>
      <c r="I136" s="18" t="s">
        <v>466</v>
      </c>
      <c r="J136" s="18" t="s">
        <v>78</v>
      </c>
      <c r="K136" s="18" t="b">
        <v>0</v>
      </c>
      <c r="L136" s="14">
        <v>2018</v>
      </c>
      <c r="M136" s="15">
        <v>500000</v>
      </c>
      <c r="N136" s="19">
        <v>41453</v>
      </c>
      <c r="O136" s="19">
        <v>41453</v>
      </c>
    </row>
    <row r="137" spans="1:15">
      <c r="A137" s="16">
        <v>2013</v>
      </c>
      <c r="B137" s="17" t="s">
        <v>449</v>
      </c>
      <c r="C137" s="17" t="s">
        <v>450</v>
      </c>
      <c r="D137" s="18">
        <v>1015042</v>
      </c>
      <c r="E137" s="18">
        <v>2</v>
      </c>
      <c r="F137" s="18"/>
      <c r="G137" s="18">
        <v>10</v>
      </c>
      <c r="H137" s="18">
        <v>1</v>
      </c>
      <c r="I137" s="18" t="s">
        <v>457</v>
      </c>
      <c r="J137" s="18" t="s">
        <v>24</v>
      </c>
      <c r="K137" s="18" t="b">
        <v>1</v>
      </c>
      <c r="L137" s="14">
        <v>2015</v>
      </c>
      <c r="M137" s="15">
        <v>7690743</v>
      </c>
      <c r="N137" s="19">
        <v>41453</v>
      </c>
      <c r="O137" s="19">
        <v>41453</v>
      </c>
    </row>
    <row r="138" spans="1:15">
      <c r="A138" s="16">
        <v>2013</v>
      </c>
      <c r="B138" s="17" t="s">
        <v>449</v>
      </c>
      <c r="C138" s="17" t="s">
        <v>450</v>
      </c>
      <c r="D138" s="18">
        <v>1015042</v>
      </c>
      <c r="E138" s="18">
        <v>2</v>
      </c>
      <c r="F138" s="18"/>
      <c r="G138" s="18">
        <v>390</v>
      </c>
      <c r="H138" s="18">
        <v>6.3</v>
      </c>
      <c r="I138" s="18" t="s">
        <v>459</v>
      </c>
      <c r="J138" s="18" t="s">
        <v>89</v>
      </c>
      <c r="K138" s="18" t="b">
        <v>0</v>
      </c>
      <c r="L138" s="14">
        <v>2021</v>
      </c>
      <c r="M138" s="15">
        <v>1.6000000000000001E-3</v>
      </c>
      <c r="N138" s="19">
        <v>41453</v>
      </c>
      <c r="O138" s="19">
        <v>41453</v>
      </c>
    </row>
    <row r="139" spans="1:15">
      <c r="A139" s="16">
        <v>2013</v>
      </c>
      <c r="B139" s="17" t="s">
        <v>449</v>
      </c>
      <c r="C139" s="17" t="s">
        <v>450</v>
      </c>
      <c r="D139" s="18">
        <v>1015042</v>
      </c>
      <c r="E139" s="18">
        <v>2</v>
      </c>
      <c r="F139" s="18"/>
      <c r="G139" s="18">
        <v>450</v>
      </c>
      <c r="H139" s="18">
        <v>9.1</v>
      </c>
      <c r="I139" s="18" t="s">
        <v>453</v>
      </c>
      <c r="J139" s="18" t="s">
        <v>93</v>
      </c>
      <c r="K139" s="18" t="b">
        <v>1</v>
      </c>
      <c r="L139" s="14">
        <v>2013</v>
      </c>
      <c r="M139" s="15">
        <v>5.0099999999999999E-2</v>
      </c>
      <c r="N139" s="19">
        <v>41453</v>
      </c>
      <c r="O139" s="19">
        <v>41453</v>
      </c>
    </row>
    <row r="140" spans="1:15">
      <c r="A140" s="16">
        <v>2013</v>
      </c>
      <c r="B140" s="17" t="s">
        <v>449</v>
      </c>
      <c r="C140" s="17" t="s">
        <v>450</v>
      </c>
      <c r="D140" s="18">
        <v>1015042</v>
      </c>
      <c r="E140" s="18">
        <v>2</v>
      </c>
      <c r="F140" s="18"/>
      <c r="G140" s="18">
        <v>560</v>
      </c>
      <c r="H140" s="18">
        <v>10.1</v>
      </c>
      <c r="I140" s="18"/>
      <c r="J140" s="18" t="s">
        <v>107</v>
      </c>
      <c r="K140" s="18" t="b">
        <v>0</v>
      </c>
      <c r="L140" s="14">
        <v>2018</v>
      </c>
      <c r="M140" s="15">
        <v>500000</v>
      </c>
      <c r="N140" s="19">
        <v>41453</v>
      </c>
      <c r="O140" s="19">
        <v>41453</v>
      </c>
    </row>
    <row r="141" spans="1:15">
      <c r="A141" s="16">
        <v>2013</v>
      </c>
      <c r="B141" s="17" t="s">
        <v>449</v>
      </c>
      <c r="C141" s="17" t="s">
        <v>450</v>
      </c>
      <c r="D141" s="18">
        <v>1015042</v>
      </c>
      <c r="E141" s="18">
        <v>2</v>
      </c>
      <c r="F141" s="18"/>
      <c r="G141" s="18">
        <v>310</v>
      </c>
      <c r="H141" s="18">
        <v>5.0999999999999996</v>
      </c>
      <c r="I141" s="18"/>
      <c r="J141" s="18" t="s">
        <v>79</v>
      </c>
      <c r="K141" s="18" t="b">
        <v>1</v>
      </c>
      <c r="L141" s="14">
        <v>2019</v>
      </c>
      <c r="M141" s="15">
        <v>550000</v>
      </c>
      <c r="N141" s="19">
        <v>41453</v>
      </c>
      <c r="O141" s="19">
        <v>41453</v>
      </c>
    </row>
    <row r="142" spans="1:15">
      <c r="A142" s="16">
        <v>2013</v>
      </c>
      <c r="B142" s="17" t="s">
        <v>449</v>
      </c>
      <c r="C142" s="17" t="s">
        <v>450</v>
      </c>
      <c r="D142" s="18">
        <v>1015042</v>
      </c>
      <c r="E142" s="18">
        <v>2</v>
      </c>
      <c r="F142" s="18"/>
      <c r="G142" s="18">
        <v>520</v>
      </c>
      <c r="H142" s="18" t="s">
        <v>101</v>
      </c>
      <c r="I142" s="18"/>
      <c r="J142" s="18" t="s">
        <v>463</v>
      </c>
      <c r="K142" s="18" t="b">
        <v>1</v>
      </c>
      <c r="L142" s="14">
        <v>2021</v>
      </c>
      <c r="M142" s="15">
        <v>8.9700000000000002E-2</v>
      </c>
      <c r="N142" s="19">
        <v>41453</v>
      </c>
      <c r="O142" s="19">
        <v>41453</v>
      </c>
    </row>
    <row r="143" spans="1:15">
      <c r="A143" s="16">
        <v>2013</v>
      </c>
      <c r="B143" s="17" t="s">
        <v>449</v>
      </c>
      <c r="C143" s="17" t="s">
        <v>450</v>
      </c>
      <c r="D143" s="18">
        <v>1015042</v>
      </c>
      <c r="E143" s="18">
        <v>2</v>
      </c>
      <c r="F143" s="18"/>
      <c r="G143" s="18">
        <v>450</v>
      </c>
      <c r="H143" s="18">
        <v>9.1</v>
      </c>
      <c r="I143" s="18" t="s">
        <v>453</v>
      </c>
      <c r="J143" s="18" t="s">
        <v>93</v>
      </c>
      <c r="K143" s="18" t="b">
        <v>1</v>
      </c>
      <c r="L143" s="14">
        <v>2019</v>
      </c>
      <c r="M143" s="15">
        <v>7.7499999999999999E-2</v>
      </c>
      <c r="N143" s="19">
        <v>41453</v>
      </c>
      <c r="O143" s="19">
        <v>41453</v>
      </c>
    </row>
    <row r="144" spans="1:15">
      <c r="A144" s="16">
        <v>2013</v>
      </c>
      <c r="B144" s="17" t="s">
        <v>449</v>
      </c>
      <c r="C144" s="17" t="s">
        <v>450</v>
      </c>
      <c r="D144" s="18">
        <v>1015042</v>
      </c>
      <c r="E144" s="18">
        <v>2</v>
      </c>
      <c r="F144" s="18"/>
      <c r="G144" s="18">
        <v>240</v>
      </c>
      <c r="H144" s="18">
        <v>4.2</v>
      </c>
      <c r="I144" s="18"/>
      <c r="J144" s="18" t="s">
        <v>71</v>
      </c>
      <c r="K144" s="18" t="b">
        <v>0</v>
      </c>
      <c r="L144" s="14">
        <v>2013</v>
      </c>
      <c r="M144" s="15">
        <v>411991</v>
      </c>
      <c r="N144" s="19">
        <v>41453</v>
      </c>
      <c r="O144" s="19">
        <v>41453</v>
      </c>
    </row>
    <row r="145" spans="1:15">
      <c r="A145" s="16">
        <v>2013</v>
      </c>
      <c r="B145" s="17" t="s">
        <v>449</v>
      </c>
      <c r="C145" s="17" t="s">
        <v>450</v>
      </c>
      <c r="D145" s="18">
        <v>1015042</v>
      </c>
      <c r="E145" s="18">
        <v>2</v>
      </c>
      <c r="F145" s="18"/>
      <c r="G145" s="18">
        <v>170</v>
      </c>
      <c r="H145" s="18" t="s">
        <v>63</v>
      </c>
      <c r="I145" s="18"/>
      <c r="J145" s="18" t="s">
        <v>64</v>
      </c>
      <c r="K145" s="18" t="b">
        <v>1</v>
      </c>
      <c r="L145" s="14">
        <v>2018</v>
      </c>
      <c r="M145" s="15">
        <v>117022</v>
      </c>
      <c r="N145" s="19">
        <v>41453</v>
      </c>
      <c r="O145" s="19">
        <v>41453</v>
      </c>
    </row>
    <row r="146" spans="1:15">
      <c r="A146" s="16">
        <v>2013</v>
      </c>
      <c r="B146" s="17" t="s">
        <v>449</v>
      </c>
      <c r="C146" s="17" t="s">
        <v>450</v>
      </c>
      <c r="D146" s="18">
        <v>1015042</v>
      </c>
      <c r="E146" s="18">
        <v>2</v>
      </c>
      <c r="F146" s="18"/>
      <c r="G146" s="18">
        <v>120</v>
      </c>
      <c r="H146" s="18">
        <v>2</v>
      </c>
      <c r="I146" s="18" t="s">
        <v>464</v>
      </c>
      <c r="J146" s="18" t="s">
        <v>19</v>
      </c>
      <c r="K146" s="18" t="b">
        <v>0</v>
      </c>
      <c r="L146" s="14">
        <v>2014</v>
      </c>
      <c r="M146" s="15">
        <v>7658635</v>
      </c>
      <c r="N146" s="19">
        <v>41453</v>
      </c>
      <c r="O146" s="19">
        <v>41453</v>
      </c>
    </row>
    <row r="147" spans="1:15">
      <c r="A147" s="16">
        <v>2013</v>
      </c>
      <c r="B147" s="17" t="s">
        <v>449</v>
      </c>
      <c r="C147" s="17" t="s">
        <v>450</v>
      </c>
      <c r="D147" s="18">
        <v>1015042</v>
      </c>
      <c r="E147" s="18">
        <v>2</v>
      </c>
      <c r="F147" s="18"/>
      <c r="G147" s="18">
        <v>50</v>
      </c>
      <c r="H147" s="18" t="s">
        <v>43</v>
      </c>
      <c r="I147" s="18"/>
      <c r="J147" s="18" t="s">
        <v>44</v>
      </c>
      <c r="K147" s="18" t="b">
        <v>1</v>
      </c>
      <c r="L147" s="14">
        <v>2014</v>
      </c>
      <c r="M147" s="15">
        <v>2262577</v>
      </c>
      <c r="N147" s="19">
        <v>41453</v>
      </c>
      <c r="O147" s="19">
        <v>41453</v>
      </c>
    </row>
    <row r="148" spans="1:15">
      <c r="A148" s="16">
        <v>2013</v>
      </c>
      <c r="B148" s="17" t="s">
        <v>449</v>
      </c>
      <c r="C148" s="17" t="s">
        <v>450</v>
      </c>
      <c r="D148" s="18">
        <v>1015042</v>
      </c>
      <c r="E148" s="18">
        <v>2</v>
      </c>
      <c r="F148" s="18"/>
      <c r="G148" s="18">
        <v>260</v>
      </c>
      <c r="H148" s="18">
        <v>4.3</v>
      </c>
      <c r="I148" s="18"/>
      <c r="J148" s="18" t="s">
        <v>74</v>
      </c>
      <c r="K148" s="18" t="b">
        <v>1</v>
      </c>
      <c r="L148" s="14">
        <v>2014</v>
      </c>
      <c r="M148" s="15">
        <v>436151</v>
      </c>
      <c r="N148" s="19">
        <v>41453</v>
      </c>
      <c r="O148" s="19">
        <v>41453</v>
      </c>
    </row>
    <row r="149" spans="1:15">
      <c r="A149" s="16">
        <v>2013</v>
      </c>
      <c r="B149" s="17" t="s">
        <v>449</v>
      </c>
      <c r="C149" s="17" t="s">
        <v>450</v>
      </c>
      <c r="D149" s="18">
        <v>1015042</v>
      </c>
      <c r="E149" s="18">
        <v>2</v>
      </c>
      <c r="F149" s="18"/>
      <c r="G149" s="18">
        <v>470</v>
      </c>
      <c r="H149" s="18">
        <v>9.3000000000000007</v>
      </c>
      <c r="I149" s="18" t="s">
        <v>453</v>
      </c>
      <c r="J149" s="18" t="s">
        <v>454</v>
      </c>
      <c r="K149" s="18" t="b">
        <v>1</v>
      </c>
      <c r="L149" s="14">
        <v>2015</v>
      </c>
      <c r="M149" s="15">
        <v>8.2100000000000006E-2</v>
      </c>
      <c r="N149" s="19">
        <v>41453</v>
      </c>
      <c r="O149" s="19">
        <v>41453</v>
      </c>
    </row>
    <row r="150" spans="1:15">
      <c r="A150" s="16">
        <v>2013</v>
      </c>
      <c r="B150" s="17" t="s">
        <v>449</v>
      </c>
      <c r="C150" s="17" t="s">
        <v>450</v>
      </c>
      <c r="D150" s="18">
        <v>1015042</v>
      </c>
      <c r="E150" s="18">
        <v>2</v>
      </c>
      <c r="F150" s="18"/>
      <c r="G150" s="18">
        <v>500</v>
      </c>
      <c r="H150" s="18">
        <v>9.6</v>
      </c>
      <c r="I150" s="18" t="s">
        <v>465</v>
      </c>
      <c r="J150" s="18" t="s">
        <v>97</v>
      </c>
      <c r="K150" s="18" t="b">
        <v>0</v>
      </c>
      <c r="L150" s="14">
        <v>2014</v>
      </c>
      <c r="M150" s="15">
        <v>8.2299999999999998E-2</v>
      </c>
      <c r="N150" s="19">
        <v>41453</v>
      </c>
      <c r="O150" s="19">
        <v>41453</v>
      </c>
    </row>
    <row r="151" spans="1:15">
      <c r="A151" s="16">
        <v>2013</v>
      </c>
      <c r="B151" s="17" t="s">
        <v>449</v>
      </c>
      <c r="C151" s="17" t="s">
        <v>450</v>
      </c>
      <c r="D151" s="18">
        <v>1015042</v>
      </c>
      <c r="E151" s="18">
        <v>2</v>
      </c>
      <c r="F151" s="18"/>
      <c r="G151" s="18">
        <v>880</v>
      </c>
      <c r="H151" s="18">
        <v>14.1</v>
      </c>
      <c r="I151" s="18"/>
      <c r="J151" s="18" t="s">
        <v>149</v>
      </c>
      <c r="K151" s="18" t="b">
        <v>1</v>
      </c>
      <c r="L151" s="14">
        <v>2013</v>
      </c>
      <c r="M151" s="15">
        <v>336951</v>
      </c>
      <c r="N151" s="19">
        <v>41453</v>
      </c>
      <c r="O151" s="19">
        <v>41453</v>
      </c>
    </row>
    <row r="152" spans="1:15">
      <c r="A152" s="16">
        <v>2013</v>
      </c>
      <c r="B152" s="17" t="s">
        <v>449</v>
      </c>
      <c r="C152" s="17" t="s">
        <v>450</v>
      </c>
      <c r="D152" s="18">
        <v>1015042</v>
      </c>
      <c r="E152" s="18">
        <v>2</v>
      </c>
      <c r="F152" s="18"/>
      <c r="G152" s="18">
        <v>130</v>
      </c>
      <c r="H152" s="18">
        <v>2.1</v>
      </c>
      <c r="I152" s="18"/>
      <c r="J152" s="18" t="s">
        <v>56</v>
      </c>
      <c r="K152" s="18" t="b">
        <v>1</v>
      </c>
      <c r="L152" s="14">
        <v>2019</v>
      </c>
      <c r="M152" s="15">
        <v>7595956</v>
      </c>
      <c r="N152" s="19">
        <v>41453</v>
      </c>
      <c r="O152" s="19">
        <v>41453</v>
      </c>
    </row>
    <row r="153" spans="1:15">
      <c r="A153" s="16">
        <v>2013</v>
      </c>
      <c r="B153" s="17" t="s">
        <v>449</v>
      </c>
      <c r="C153" s="17" t="s">
        <v>450</v>
      </c>
      <c r="D153" s="18">
        <v>1015042</v>
      </c>
      <c r="E153" s="18">
        <v>2</v>
      </c>
      <c r="F153" s="18"/>
      <c r="G153" s="18">
        <v>880</v>
      </c>
      <c r="H153" s="18">
        <v>14.1</v>
      </c>
      <c r="I153" s="18"/>
      <c r="J153" s="18" t="s">
        <v>149</v>
      </c>
      <c r="K153" s="18" t="b">
        <v>1</v>
      </c>
      <c r="L153" s="14">
        <v>2015</v>
      </c>
      <c r="M153" s="15">
        <v>281751</v>
      </c>
      <c r="N153" s="19">
        <v>41453</v>
      </c>
      <c r="O153" s="19">
        <v>41453</v>
      </c>
    </row>
    <row r="154" spans="1:15">
      <c r="A154" s="16">
        <v>2013</v>
      </c>
      <c r="B154" s="17" t="s">
        <v>449</v>
      </c>
      <c r="C154" s="17" t="s">
        <v>450</v>
      </c>
      <c r="D154" s="18">
        <v>1015042</v>
      </c>
      <c r="E154" s="18">
        <v>2</v>
      </c>
      <c r="F154" s="18"/>
      <c r="G154" s="18">
        <v>560</v>
      </c>
      <c r="H154" s="18">
        <v>10.1</v>
      </c>
      <c r="I154" s="18"/>
      <c r="J154" s="18" t="s">
        <v>107</v>
      </c>
      <c r="K154" s="18" t="b">
        <v>0</v>
      </c>
      <c r="L154" s="14">
        <v>2020</v>
      </c>
      <c r="M154" s="15">
        <v>550000</v>
      </c>
      <c r="N154" s="19">
        <v>41453</v>
      </c>
      <c r="O154" s="19">
        <v>41453</v>
      </c>
    </row>
    <row r="155" spans="1:15">
      <c r="A155" s="16">
        <v>2013</v>
      </c>
      <c r="B155" s="17" t="s">
        <v>449</v>
      </c>
      <c r="C155" s="17" t="s">
        <v>450</v>
      </c>
      <c r="D155" s="18">
        <v>1015042</v>
      </c>
      <c r="E155" s="18">
        <v>2</v>
      </c>
      <c r="F155" s="18"/>
      <c r="G155" s="18">
        <v>30</v>
      </c>
      <c r="H155" s="18" t="s">
        <v>39</v>
      </c>
      <c r="I155" s="18"/>
      <c r="J155" s="18" t="s">
        <v>40</v>
      </c>
      <c r="K155" s="18" t="b">
        <v>1</v>
      </c>
      <c r="L155" s="14">
        <v>2016</v>
      </c>
      <c r="M155" s="15">
        <v>849135</v>
      </c>
      <c r="N155" s="19">
        <v>41453</v>
      </c>
      <c r="O155" s="19">
        <v>41453</v>
      </c>
    </row>
    <row r="156" spans="1:15">
      <c r="A156" s="16">
        <v>2013</v>
      </c>
      <c r="B156" s="17" t="s">
        <v>449</v>
      </c>
      <c r="C156" s="17" t="s">
        <v>450</v>
      </c>
      <c r="D156" s="18">
        <v>1015042</v>
      </c>
      <c r="E156" s="18">
        <v>2</v>
      </c>
      <c r="F156" s="18"/>
      <c r="G156" s="18">
        <v>780</v>
      </c>
      <c r="H156" s="18" t="s">
        <v>138</v>
      </c>
      <c r="I156" s="18"/>
      <c r="J156" s="18" t="s">
        <v>139</v>
      </c>
      <c r="K156" s="18" t="b">
        <v>1</v>
      </c>
      <c r="L156" s="14">
        <v>2013</v>
      </c>
      <c r="M156" s="15">
        <v>1334069</v>
      </c>
      <c r="N156" s="19">
        <v>41453</v>
      </c>
      <c r="O156" s="19">
        <v>41453</v>
      </c>
    </row>
    <row r="157" spans="1:15">
      <c r="A157" s="16">
        <v>2013</v>
      </c>
      <c r="B157" s="17" t="s">
        <v>449</v>
      </c>
      <c r="C157" s="17" t="s">
        <v>450</v>
      </c>
      <c r="D157" s="18">
        <v>1015042</v>
      </c>
      <c r="E157" s="18">
        <v>2</v>
      </c>
      <c r="F157" s="18"/>
      <c r="G157" s="18">
        <v>505</v>
      </c>
      <c r="H157" s="18" t="s">
        <v>98</v>
      </c>
      <c r="I157" s="18" t="s">
        <v>455</v>
      </c>
      <c r="J157" s="18" t="s">
        <v>99</v>
      </c>
      <c r="K157" s="18" t="b">
        <v>0</v>
      </c>
      <c r="L157" s="14">
        <v>2014</v>
      </c>
      <c r="M157" s="15">
        <v>9.4299999999999995E-2</v>
      </c>
      <c r="N157" s="19">
        <v>41453</v>
      </c>
      <c r="O157" s="19">
        <v>41453</v>
      </c>
    </row>
    <row r="158" spans="1:15">
      <c r="A158" s="16">
        <v>2013</v>
      </c>
      <c r="B158" s="17" t="s">
        <v>449</v>
      </c>
      <c r="C158" s="17" t="s">
        <v>450</v>
      </c>
      <c r="D158" s="18">
        <v>1015042</v>
      </c>
      <c r="E158" s="18">
        <v>2</v>
      </c>
      <c r="F158" s="18"/>
      <c r="G158" s="18">
        <v>520</v>
      </c>
      <c r="H158" s="18" t="s">
        <v>101</v>
      </c>
      <c r="I158" s="18"/>
      <c r="J158" s="18" t="s">
        <v>463</v>
      </c>
      <c r="K158" s="18" t="b">
        <v>1</v>
      </c>
      <c r="L158" s="14">
        <v>2014</v>
      </c>
      <c r="M158" s="15">
        <v>8.6400000000000005E-2</v>
      </c>
      <c r="N158" s="19">
        <v>41453</v>
      </c>
      <c r="O158" s="19">
        <v>41453</v>
      </c>
    </row>
    <row r="159" spans="1:15">
      <c r="A159" s="16">
        <v>2013</v>
      </c>
      <c r="B159" s="17" t="s">
        <v>449</v>
      </c>
      <c r="C159" s="17" t="s">
        <v>450</v>
      </c>
      <c r="D159" s="18">
        <v>1015042</v>
      </c>
      <c r="E159" s="18">
        <v>2</v>
      </c>
      <c r="F159" s="18"/>
      <c r="G159" s="18">
        <v>70</v>
      </c>
      <c r="H159" s="18" t="s">
        <v>47</v>
      </c>
      <c r="I159" s="18"/>
      <c r="J159" s="18" t="s">
        <v>48</v>
      </c>
      <c r="K159" s="18" t="b">
        <v>1</v>
      </c>
      <c r="L159" s="14">
        <v>2014</v>
      </c>
      <c r="M159" s="15">
        <v>2988065</v>
      </c>
      <c r="N159" s="19">
        <v>41453</v>
      </c>
      <c r="O159" s="19">
        <v>41453</v>
      </c>
    </row>
    <row r="160" spans="1:15">
      <c r="A160" s="16">
        <v>2013</v>
      </c>
      <c r="B160" s="17" t="s">
        <v>449</v>
      </c>
      <c r="C160" s="17" t="s">
        <v>450</v>
      </c>
      <c r="D160" s="18">
        <v>1015042</v>
      </c>
      <c r="E160" s="18">
        <v>2</v>
      </c>
      <c r="F160" s="18"/>
      <c r="G160" s="18">
        <v>310</v>
      </c>
      <c r="H160" s="18">
        <v>5.0999999999999996</v>
      </c>
      <c r="I160" s="18"/>
      <c r="J160" s="18" t="s">
        <v>79</v>
      </c>
      <c r="K160" s="18" t="b">
        <v>1</v>
      </c>
      <c r="L160" s="14">
        <v>2018</v>
      </c>
      <c r="M160" s="15">
        <v>500000</v>
      </c>
      <c r="N160" s="19">
        <v>41453</v>
      </c>
      <c r="O160" s="19">
        <v>41453</v>
      </c>
    </row>
    <row r="161" spans="1:15">
      <c r="A161" s="16">
        <v>2013</v>
      </c>
      <c r="B161" s="17" t="s">
        <v>449</v>
      </c>
      <c r="C161" s="17" t="s">
        <v>450</v>
      </c>
      <c r="D161" s="18">
        <v>1015042</v>
      </c>
      <c r="E161" s="18">
        <v>2</v>
      </c>
      <c r="F161" s="18"/>
      <c r="G161" s="18">
        <v>120</v>
      </c>
      <c r="H161" s="18">
        <v>2</v>
      </c>
      <c r="I161" s="18" t="s">
        <v>464</v>
      </c>
      <c r="J161" s="18" t="s">
        <v>19</v>
      </c>
      <c r="K161" s="18" t="b">
        <v>0</v>
      </c>
      <c r="L161" s="14">
        <v>2019</v>
      </c>
      <c r="M161" s="15">
        <v>7793446</v>
      </c>
      <c r="N161" s="19">
        <v>41453</v>
      </c>
      <c r="O161" s="19">
        <v>41453</v>
      </c>
    </row>
    <row r="162" spans="1:15">
      <c r="A162" s="16">
        <v>2013</v>
      </c>
      <c r="B162" s="17" t="s">
        <v>449</v>
      </c>
      <c r="C162" s="17" t="s">
        <v>450</v>
      </c>
      <c r="D162" s="18">
        <v>1015042</v>
      </c>
      <c r="E162" s="18">
        <v>2</v>
      </c>
      <c r="F162" s="18"/>
      <c r="G162" s="18">
        <v>460</v>
      </c>
      <c r="H162" s="18">
        <v>9.1999999999999993</v>
      </c>
      <c r="I162" s="18" t="s">
        <v>458</v>
      </c>
      <c r="J162" s="18" t="s">
        <v>94</v>
      </c>
      <c r="K162" s="18" t="b">
        <v>0</v>
      </c>
      <c r="L162" s="14">
        <v>2017</v>
      </c>
      <c r="M162" s="15">
        <v>6.54E-2</v>
      </c>
      <c r="N162" s="19">
        <v>41453</v>
      </c>
      <c r="O162" s="19">
        <v>41453</v>
      </c>
    </row>
    <row r="163" spans="1:15">
      <c r="A163" s="16">
        <v>2013</v>
      </c>
      <c r="B163" s="17" t="s">
        <v>449</v>
      </c>
      <c r="C163" s="17" t="s">
        <v>450</v>
      </c>
      <c r="D163" s="18">
        <v>1015042</v>
      </c>
      <c r="E163" s="18">
        <v>2</v>
      </c>
      <c r="F163" s="18"/>
      <c r="G163" s="18">
        <v>190</v>
      </c>
      <c r="H163" s="18">
        <v>2.2000000000000002</v>
      </c>
      <c r="I163" s="18"/>
      <c r="J163" s="18" t="s">
        <v>67</v>
      </c>
      <c r="K163" s="18" t="b">
        <v>0</v>
      </c>
      <c r="L163" s="14">
        <v>2017</v>
      </c>
      <c r="M163" s="15">
        <v>313064</v>
      </c>
      <c r="N163" s="19">
        <v>41453</v>
      </c>
      <c r="O163" s="19">
        <v>41453</v>
      </c>
    </row>
    <row r="164" spans="1:15">
      <c r="A164" s="16">
        <v>2013</v>
      </c>
      <c r="B164" s="17" t="s">
        <v>449</v>
      </c>
      <c r="C164" s="17" t="s">
        <v>450</v>
      </c>
      <c r="D164" s="18">
        <v>1015042</v>
      </c>
      <c r="E164" s="18">
        <v>2</v>
      </c>
      <c r="F164" s="18"/>
      <c r="G164" s="18">
        <v>540</v>
      </c>
      <c r="H164" s="18" t="s">
        <v>104</v>
      </c>
      <c r="I164" s="18" t="s">
        <v>452</v>
      </c>
      <c r="J164" s="18" t="s">
        <v>105</v>
      </c>
      <c r="K164" s="18" t="b">
        <v>0</v>
      </c>
      <c r="L164" s="14">
        <v>2018</v>
      </c>
      <c r="M164" s="15">
        <v>80</v>
      </c>
      <c r="N164" s="19">
        <v>41453</v>
      </c>
      <c r="O164" s="19">
        <v>41453</v>
      </c>
    </row>
    <row r="165" spans="1:15">
      <c r="A165" s="16">
        <v>2013</v>
      </c>
      <c r="B165" s="17" t="s">
        <v>449</v>
      </c>
      <c r="C165" s="17" t="s">
        <v>450</v>
      </c>
      <c r="D165" s="18">
        <v>1015042</v>
      </c>
      <c r="E165" s="18">
        <v>2</v>
      </c>
      <c r="F165" s="18"/>
      <c r="G165" s="18">
        <v>120</v>
      </c>
      <c r="H165" s="18">
        <v>2</v>
      </c>
      <c r="I165" s="18" t="s">
        <v>464</v>
      </c>
      <c r="J165" s="18" t="s">
        <v>19</v>
      </c>
      <c r="K165" s="18" t="b">
        <v>0</v>
      </c>
      <c r="L165" s="14">
        <v>2013</v>
      </c>
      <c r="M165" s="15">
        <v>11071373.01</v>
      </c>
      <c r="N165" s="19">
        <v>41453</v>
      </c>
      <c r="O165" s="19">
        <v>41453</v>
      </c>
    </row>
    <row r="166" spans="1:15">
      <c r="A166" s="16">
        <v>2013</v>
      </c>
      <c r="B166" s="17" t="s">
        <v>449</v>
      </c>
      <c r="C166" s="17" t="s">
        <v>450</v>
      </c>
      <c r="D166" s="18">
        <v>1015042</v>
      </c>
      <c r="E166" s="18">
        <v>2</v>
      </c>
      <c r="F166" s="18"/>
      <c r="G166" s="18">
        <v>505</v>
      </c>
      <c r="H166" s="18" t="s">
        <v>98</v>
      </c>
      <c r="I166" s="18" t="s">
        <v>455</v>
      </c>
      <c r="J166" s="18" t="s">
        <v>99</v>
      </c>
      <c r="K166" s="18" t="b">
        <v>0</v>
      </c>
      <c r="L166" s="14">
        <v>2017</v>
      </c>
      <c r="M166" s="15">
        <v>8.7999999999999995E-2</v>
      </c>
      <c r="N166" s="19">
        <v>41453</v>
      </c>
      <c r="O166" s="19">
        <v>41453</v>
      </c>
    </row>
    <row r="167" spans="1:15">
      <c r="A167" s="16">
        <v>2013</v>
      </c>
      <c r="B167" s="17" t="s">
        <v>449</v>
      </c>
      <c r="C167" s="17" t="s">
        <v>450</v>
      </c>
      <c r="D167" s="18">
        <v>1015042</v>
      </c>
      <c r="E167" s="18">
        <v>2</v>
      </c>
      <c r="F167" s="18"/>
      <c r="G167" s="18">
        <v>300</v>
      </c>
      <c r="H167" s="18">
        <v>5</v>
      </c>
      <c r="I167" s="18" t="s">
        <v>466</v>
      </c>
      <c r="J167" s="18" t="s">
        <v>78</v>
      </c>
      <c r="K167" s="18" t="b">
        <v>0</v>
      </c>
      <c r="L167" s="14">
        <v>2016</v>
      </c>
      <c r="M167" s="15">
        <v>387205</v>
      </c>
      <c r="N167" s="19">
        <v>41453</v>
      </c>
      <c r="O167" s="19">
        <v>41453</v>
      </c>
    </row>
    <row r="168" spans="1:15">
      <c r="A168" s="16">
        <v>2013</v>
      </c>
      <c r="B168" s="17" t="s">
        <v>449</v>
      </c>
      <c r="C168" s="17" t="s">
        <v>450</v>
      </c>
      <c r="D168" s="18">
        <v>1015042</v>
      </c>
      <c r="E168" s="18">
        <v>2</v>
      </c>
      <c r="F168" s="18"/>
      <c r="G168" s="18">
        <v>300</v>
      </c>
      <c r="H168" s="18">
        <v>5</v>
      </c>
      <c r="I168" s="18" t="s">
        <v>466</v>
      </c>
      <c r="J168" s="18" t="s">
        <v>78</v>
      </c>
      <c r="K168" s="18" t="b">
        <v>0</v>
      </c>
      <c r="L168" s="14">
        <v>2021</v>
      </c>
      <c r="M168" s="15">
        <v>490000</v>
      </c>
      <c r="N168" s="19">
        <v>41453</v>
      </c>
      <c r="O168" s="19">
        <v>41453</v>
      </c>
    </row>
    <row r="169" spans="1:15">
      <c r="A169" s="16">
        <v>2013</v>
      </c>
      <c r="B169" s="17" t="s">
        <v>449</v>
      </c>
      <c r="C169" s="17" t="s">
        <v>450</v>
      </c>
      <c r="D169" s="18">
        <v>1015042</v>
      </c>
      <c r="E169" s="18">
        <v>2</v>
      </c>
      <c r="F169" s="18"/>
      <c r="G169" s="18">
        <v>500</v>
      </c>
      <c r="H169" s="18">
        <v>9.6</v>
      </c>
      <c r="I169" s="18" t="s">
        <v>465</v>
      </c>
      <c r="J169" s="18" t="s">
        <v>97</v>
      </c>
      <c r="K169" s="18" t="b">
        <v>0</v>
      </c>
      <c r="L169" s="14">
        <v>2019</v>
      </c>
      <c r="M169" s="15">
        <v>7.7499999999999999E-2</v>
      </c>
      <c r="N169" s="19">
        <v>41453</v>
      </c>
      <c r="O169" s="19">
        <v>41453</v>
      </c>
    </row>
    <row r="170" spans="1:15">
      <c r="A170" s="16">
        <v>2013</v>
      </c>
      <c r="B170" s="17" t="s">
        <v>449</v>
      </c>
      <c r="C170" s="17" t="s">
        <v>450</v>
      </c>
      <c r="D170" s="18">
        <v>1015042</v>
      </c>
      <c r="E170" s="18">
        <v>2</v>
      </c>
      <c r="F170" s="18"/>
      <c r="G170" s="18">
        <v>540</v>
      </c>
      <c r="H170" s="18" t="s">
        <v>104</v>
      </c>
      <c r="I170" s="18" t="s">
        <v>452</v>
      </c>
      <c r="J170" s="18" t="s">
        <v>105</v>
      </c>
      <c r="K170" s="18" t="b">
        <v>0</v>
      </c>
      <c r="L170" s="14">
        <v>2020</v>
      </c>
      <c r="M170" s="15">
        <v>163</v>
      </c>
      <c r="N170" s="19">
        <v>41453</v>
      </c>
      <c r="O170" s="19">
        <v>41453</v>
      </c>
    </row>
    <row r="171" spans="1:15">
      <c r="A171" s="16">
        <v>2013</v>
      </c>
      <c r="B171" s="17" t="s">
        <v>449</v>
      </c>
      <c r="C171" s="17" t="s">
        <v>450</v>
      </c>
      <c r="D171" s="18">
        <v>1015042</v>
      </c>
      <c r="E171" s="18">
        <v>2</v>
      </c>
      <c r="F171" s="18"/>
      <c r="G171" s="18">
        <v>530</v>
      </c>
      <c r="H171" s="18">
        <v>9.8000000000000007</v>
      </c>
      <c r="I171" s="18" t="s">
        <v>456</v>
      </c>
      <c r="J171" s="18" t="s">
        <v>103</v>
      </c>
      <c r="K171" s="18" t="b">
        <v>0</v>
      </c>
      <c r="L171" s="14">
        <v>2020</v>
      </c>
      <c r="M171" s="15">
        <v>163</v>
      </c>
      <c r="N171" s="19">
        <v>41453</v>
      </c>
      <c r="O171" s="19">
        <v>41453</v>
      </c>
    </row>
    <row r="172" spans="1:15">
      <c r="A172" s="16">
        <v>2013</v>
      </c>
      <c r="B172" s="17" t="s">
        <v>449</v>
      </c>
      <c r="C172" s="17" t="s">
        <v>450</v>
      </c>
      <c r="D172" s="18">
        <v>1015042</v>
      </c>
      <c r="E172" s="18">
        <v>2</v>
      </c>
      <c r="F172" s="18"/>
      <c r="G172" s="18">
        <v>620</v>
      </c>
      <c r="H172" s="18" t="s">
        <v>114</v>
      </c>
      <c r="I172" s="18"/>
      <c r="J172" s="18" t="s">
        <v>115</v>
      </c>
      <c r="K172" s="18" t="b">
        <v>1</v>
      </c>
      <c r="L172" s="14">
        <v>2014</v>
      </c>
      <c r="M172" s="15">
        <v>17400</v>
      </c>
      <c r="N172" s="19">
        <v>41453</v>
      </c>
      <c r="O172" s="19">
        <v>41453</v>
      </c>
    </row>
    <row r="173" spans="1:15">
      <c r="A173" s="16">
        <v>2013</v>
      </c>
      <c r="B173" s="17" t="s">
        <v>449</v>
      </c>
      <c r="C173" s="17" t="s">
        <v>450</v>
      </c>
      <c r="D173" s="18">
        <v>1015042</v>
      </c>
      <c r="E173" s="18">
        <v>2</v>
      </c>
      <c r="F173" s="18"/>
      <c r="G173" s="18">
        <v>310</v>
      </c>
      <c r="H173" s="18">
        <v>5.0999999999999996</v>
      </c>
      <c r="I173" s="18"/>
      <c r="J173" s="18" t="s">
        <v>79</v>
      </c>
      <c r="K173" s="18" t="b">
        <v>1</v>
      </c>
      <c r="L173" s="14">
        <v>2014</v>
      </c>
      <c r="M173" s="15">
        <v>436151</v>
      </c>
      <c r="N173" s="19">
        <v>41453</v>
      </c>
      <c r="O173" s="19">
        <v>41453</v>
      </c>
    </row>
    <row r="174" spans="1:15">
      <c r="A174" s="16">
        <v>2013</v>
      </c>
      <c r="B174" s="17" t="s">
        <v>449</v>
      </c>
      <c r="C174" s="17" t="s">
        <v>450</v>
      </c>
      <c r="D174" s="18">
        <v>1015042</v>
      </c>
      <c r="E174" s="18">
        <v>2</v>
      </c>
      <c r="F174" s="18"/>
      <c r="G174" s="18">
        <v>610</v>
      </c>
      <c r="H174" s="18" t="s">
        <v>112</v>
      </c>
      <c r="I174" s="18"/>
      <c r="J174" s="18" t="s">
        <v>113</v>
      </c>
      <c r="K174" s="18" t="b">
        <v>1</v>
      </c>
      <c r="L174" s="14">
        <v>2013</v>
      </c>
      <c r="M174" s="15">
        <v>9900</v>
      </c>
      <c r="N174" s="19">
        <v>41453</v>
      </c>
      <c r="O174" s="19">
        <v>41453</v>
      </c>
    </row>
    <row r="175" spans="1:15">
      <c r="A175" s="16">
        <v>2013</v>
      </c>
      <c r="B175" s="17" t="s">
        <v>449</v>
      </c>
      <c r="C175" s="17" t="s">
        <v>450</v>
      </c>
      <c r="D175" s="18">
        <v>1015042</v>
      </c>
      <c r="E175" s="18">
        <v>2</v>
      </c>
      <c r="F175" s="18"/>
      <c r="G175" s="18">
        <v>170</v>
      </c>
      <c r="H175" s="18" t="s">
        <v>63</v>
      </c>
      <c r="I175" s="18"/>
      <c r="J175" s="18" t="s">
        <v>64</v>
      </c>
      <c r="K175" s="18" t="b">
        <v>1</v>
      </c>
      <c r="L175" s="14">
        <v>2016</v>
      </c>
      <c r="M175" s="15">
        <v>154005</v>
      </c>
      <c r="N175" s="19">
        <v>41453</v>
      </c>
      <c r="O175" s="19">
        <v>41453</v>
      </c>
    </row>
    <row r="176" spans="1:15">
      <c r="A176" s="16">
        <v>2013</v>
      </c>
      <c r="B176" s="17" t="s">
        <v>449</v>
      </c>
      <c r="C176" s="17" t="s">
        <v>450</v>
      </c>
      <c r="D176" s="18">
        <v>1015042</v>
      </c>
      <c r="E176" s="18">
        <v>2</v>
      </c>
      <c r="F176" s="18"/>
      <c r="G176" s="18">
        <v>300</v>
      </c>
      <c r="H176" s="18">
        <v>5</v>
      </c>
      <c r="I176" s="18" t="s">
        <v>466</v>
      </c>
      <c r="J176" s="18" t="s">
        <v>78</v>
      </c>
      <c r="K176" s="18" t="b">
        <v>0</v>
      </c>
      <c r="L176" s="14">
        <v>2013</v>
      </c>
      <c r="M176" s="15">
        <v>336951</v>
      </c>
      <c r="N176" s="19">
        <v>41453</v>
      </c>
      <c r="O176" s="19">
        <v>41453</v>
      </c>
    </row>
    <row r="177" spans="1:15">
      <c r="A177" s="16">
        <v>2013</v>
      </c>
      <c r="B177" s="17" t="s">
        <v>449</v>
      </c>
      <c r="C177" s="17" t="s">
        <v>450</v>
      </c>
      <c r="D177" s="18">
        <v>1015042</v>
      </c>
      <c r="E177" s="18">
        <v>2</v>
      </c>
      <c r="F177" s="18"/>
      <c r="G177" s="18">
        <v>430</v>
      </c>
      <c r="H177" s="18">
        <v>8.1999999999999993</v>
      </c>
      <c r="I177" s="18" t="s">
        <v>462</v>
      </c>
      <c r="J177" s="18" t="s">
        <v>92</v>
      </c>
      <c r="K177" s="18" t="b">
        <v>0</v>
      </c>
      <c r="L177" s="14">
        <v>2019</v>
      </c>
      <c r="M177" s="15">
        <v>747490</v>
      </c>
      <c r="N177" s="19">
        <v>41453</v>
      </c>
      <c r="O177" s="19">
        <v>41453</v>
      </c>
    </row>
    <row r="178" spans="1:15">
      <c r="A178" s="16">
        <v>2013</v>
      </c>
      <c r="B178" s="17" t="s">
        <v>449</v>
      </c>
      <c r="C178" s="17" t="s">
        <v>450</v>
      </c>
      <c r="D178" s="18">
        <v>1015042</v>
      </c>
      <c r="E178" s="18">
        <v>2</v>
      </c>
      <c r="F178" s="18"/>
      <c r="G178" s="18">
        <v>90</v>
      </c>
      <c r="H178" s="18">
        <v>1.2</v>
      </c>
      <c r="I178" s="18"/>
      <c r="J178" s="18" t="s">
        <v>51</v>
      </c>
      <c r="K178" s="18" t="b">
        <v>1</v>
      </c>
      <c r="L178" s="14">
        <v>2013</v>
      </c>
      <c r="M178" s="15">
        <v>1329312</v>
      </c>
      <c r="N178" s="19">
        <v>41453</v>
      </c>
      <c r="O178" s="19">
        <v>41453</v>
      </c>
    </row>
    <row r="179" spans="1:15">
      <c r="A179" s="16">
        <v>2013</v>
      </c>
      <c r="B179" s="17" t="s">
        <v>449</v>
      </c>
      <c r="C179" s="17" t="s">
        <v>450</v>
      </c>
      <c r="D179" s="18">
        <v>1015042</v>
      </c>
      <c r="E179" s="18">
        <v>2</v>
      </c>
      <c r="F179" s="18"/>
      <c r="G179" s="18">
        <v>420</v>
      </c>
      <c r="H179" s="18">
        <v>8.1</v>
      </c>
      <c r="I179" s="18" t="s">
        <v>461</v>
      </c>
      <c r="J179" s="18" t="s">
        <v>91</v>
      </c>
      <c r="K179" s="18" t="b">
        <v>0</v>
      </c>
      <c r="L179" s="14">
        <v>2020</v>
      </c>
      <c r="M179" s="15">
        <v>777594</v>
      </c>
      <c r="N179" s="19">
        <v>41453</v>
      </c>
      <c r="O179" s="19">
        <v>41453</v>
      </c>
    </row>
    <row r="180" spans="1:15">
      <c r="A180" s="16">
        <v>2013</v>
      </c>
      <c r="B180" s="17" t="s">
        <v>449</v>
      </c>
      <c r="C180" s="17" t="s">
        <v>450</v>
      </c>
      <c r="D180" s="18">
        <v>1015042</v>
      </c>
      <c r="E180" s="18">
        <v>2</v>
      </c>
      <c r="F180" s="18"/>
      <c r="G180" s="18">
        <v>180</v>
      </c>
      <c r="H180" s="18" t="s">
        <v>65</v>
      </c>
      <c r="I180" s="18"/>
      <c r="J180" s="18" t="s">
        <v>66</v>
      </c>
      <c r="K180" s="18" t="b">
        <v>0</v>
      </c>
      <c r="L180" s="14">
        <v>2022</v>
      </c>
      <c r="M180" s="15">
        <v>1622</v>
      </c>
      <c r="N180" s="19">
        <v>41453</v>
      </c>
      <c r="O180" s="19">
        <v>41453</v>
      </c>
    </row>
    <row r="181" spans="1:15">
      <c r="A181" s="16">
        <v>2013</v>
      </c>
      <c r="B181" s="17" t="s">
        <v>449</v>
      </c>
      <c r="C181" s="17" t="s">
        <v>450</v>
      </c>
      <c r="D181" s="18">
        <v>1015042</v>
      </c>
      <c r="E181" s="18">
        <v>2</v>
      </c>
      <c r="F181" s="18"/>
      <c r="G181" s="18">
        <v>300</v>
      </c>
      <c r="H181" s="18">
        <v>5</v>
      </c>
      <c r="I181" s="18" t="s">
        <v>466</v>
      </c>
      <c r="J181" s="18" t="s">
        <v>78</v>
      </c>
      <c r="K181" s="18" t="b">
        <v>0</v>
      </c>
      <c r="L181" s="14">
        <v>2020</v>
      </c>
      <c r="M181" s="15">
        <v>550000</v>
      </c>
      <c r="N181" s="19">
        <v>41453</v>
      </c>
      <c r="O181" s="19">
        <v>41453</v>
      </c>
    </row>
    <row r="182" spans="1:15">
      <c r="A182" s="16">
        <v>2013</v>
      </c>
      <c r="B182" s="17" t="s">
        <v>449</v>
      </c>
      <c r="C182" s="17" t="s">
        <v>450</v>
      </c>
      <c r="D182" s="18">
        <v>1015042</v>
      </c>
      <c r="E182" s="18">
        <v>2</v>
      </c>
      <c r="F182" s="18"/>
      <c r="G182" s="18">
        <v>20</v>
      </c>
      <c r="H182" s="18">
        <v>1.1000000000000001</v>
      </c>
      <c r="I182" s="18"/>
      <c r="J182" s="18" t="s">
        <v>38</v>
      </c>
      <c r="K182" s="18" t="b">
        <v>1</v>
      </c>
      <c r="L182" s="14">
        <v>2022</v>
      </c>
      <c r="M182" s="15">
        <v>8835653</v>
      </c>
      <c r="N182" s="19">
        <v>41453</v>
      </c>
      <c r="O182" s="19">
        <v>41453</v>
      </c>
    </row>
    <row r="183" spans="1:15">
      <c r="A183" s="16">
        <v>2013</v>
      </c>
      <c r="B183" s="17" t="s">
        <v>449</v>
      </c>
      <c r="C183" s="17" t="s">
        <v>450</v>
      </c>
      <c r="D183" s="18">
        <v>1015042</v>
      </c>
      <c r="E183" s="18">
        <v>2</v>
      </c>
      <c r="F183" s="18"/>
      <c r="G183" s="18">
        <v>430</v>
      </c>
      <c r="H183" s="18">
        <v>8.1999999999999993</v>
      </c>
      <c r="I183" s="18" t="s">
        <v>462</v>
      </c>
      <c r="J183" s="18" t="s">
        <v>92</v>
      </c>
      <c r="K183" s="18" t="b">
        <v>0</v>
      </c>
      <c r="L183" s="14">
        <v>2021</v>
      </c>
      <c r="M183" s="15">
        <v>813383</v>
      </c>
      <c r="N183" s="19">
        <v>41453</v>
      </c>
      <c r="O183" s="19">
        <v>41453</v>
      </c>
    </row>
    <row r="184" spans="1:15">
      <c r="A184" s="16">
        <v>2013</v>
      </c>
      <c r="B184" s="17" t="s">
        <v>449</v>
      </c>
      <c r="C184" s="17" t="s">
        <v>450</v>
      </c>
      <c r="D184" s="18">
        <v>1015042</v>
      </c>
      <c r="E184" s="18">
        <v>2</v>
      </c>
      <c r="F184" s="18"/>
      <c r="G184" s="18">
        <v>510</v>
      </c>
      <c r="H184" s="18">
        <v>9.6999999999999993</v>
      </c>
      <c r="I184" s="18"/>
      <c r="J184" s="18" t="s">
        <v>467</v>
      </c>
      <c r="K184" s="18" t="b">
        <v>1</v>
      </c>
      <c r="L184" s="14">
        <v>2015</v>
      </c>
      <c r="M184" s="15">
        <v>9.2799999999999994E-2</v>
      </c>
      <c r="N184" s="19">
        <v>41453</v>
      </c>
      <c r="O184" s="19">
        <v>41453</v>
      </c>
    </row>
    <row r="185" spans="1:15">
      <c r="A185" s="16">
        <v>2013</v>
      </c>
      <c r="B185" s="17" t="s">
        <v>449</v>
      </c>
      <c r="C185" s="17" t="s">
        <v>450</v>
      </c>
      <c r="D185" s="18">
        <v>1015042</v>
      </c>
      <c r="E185" s="18">
        <v>2</v>
      </c>
      <c r="F185" s="18"/>
      <c r="G185" s="18">
        <v>460</v>
      </c>
      <c r="H185" s="18">
        <v>9.1999999999999993</v>
      </c>
      <c r="I185" s="18" t="s">
        <v>458</v>
      </c>
      <c r="J185" s="18" t="s">
        <v>94</v>
      </c>
      <c r="K185" s="18" t="b">
        <v>0</v>
      </c>
      <c r="L185" s="14">
        <v>2014</v>
      </c>
      <c r="M185" s="15">
        <v>8.2299999999999998E-2</v>
      </c>
      <c r="N185" s="19">
        <v>41453</v>
      </c>
      <c r="O185" s="19">
        <v>41453</v>
      </c>
    </row>
    <row r="186" spans="1:15">
      <c r="A186" s="16">
        <v>2013</v>
      </c>
      <c r="B186" s="17" t="s">
        <v>449</v>
      </c>
      <c r="C186" s="17" t="s">
        <v>450</v>
      </c>
      <c r="D186" s="18">
        <v>1015042</v>
      </c>
      <c r="E186" s="18">
        <v>2</v>
      </c>
      <c r="F186" s="18"/>
      <c r="G186" s="18">
        <v>270</v>
      </c>
      <c r="H186" s="18" t="s">
        <v>75</v>
      </c>
      <c r="I186" s="18"/>
      <c r="J186" s="18" t="s">
        <v>73</v>
      </c>
      <c r="K186" s="18" t="b">
        <v>1</v>
      </c>
      <c r="L186" s="14">
        <v>2013</v>
      </c>
      <c r="M186" s="15">
        <v>2281489</v>
      </c>
      <c r="N186" s="19">
        <v>41453</v>
      </c>
      <c r="O186" s="19">
        <v>41453</v>
      </c>
    </row>
    <row r="187" spans="1:15">
      <c r="A187" s="16">
        <v>2013</v>
      </c>
      <c r="B187" s="17" t="s">
        <v>449</v>
      </c>
      <c r="C187" s="17" t="s">
        <v>450</v>
      </c>
      <c r="D187" s="18">
        <v>1015042</v>
      </c>
      <c r="E187" s="18">
        <v>2</v>
      </c>
      <c r="F187" s="18"/>
      <c r="G187" s="18">
        <v>310</v>
      </c>
      <c r="H187" s="18">
        <v>5.0999999999999996</v>
      </c>
      <c r="I187" s="18"/>
      <c r="J187" s="18" t="s">
        <v>79</v>
      </c>
      <c r="K187" s="18" t="b">
        <v>1</v>
      </c>
      <c r="L187" s="14">
        <v>2022</v>
      </c>
      <c r="M187" s="15">
        <v>13948.43</v>
      </c>
      <c r="N187" s="19">
        <v>41453</v>
      </c>
      <c r="O187" s="19">
        <v>41453</v>
      </c>
    </row>
    <row r="188" spans="1:15">
      <c r="A188" s="16">
        <v>2013</v>
      </c>
      <c r="B188" s="17" t="s">
        <v>449</v>
      </c>
      <c r="C188" s="17" t="s">
        <v>450</v>
      </c>
      <c r="D188" s="18">
        <v>1015042</v>
      </c>
      <c r="E188" s="18">
        <v>2</v>
      </c>
      <c r="F188" s="18"/>
      <c r="G188" s="18">
        <v>300</v>
      </c>
      <c r="H188" s="18">
        <v>5</v>
      </c>
      <c r="I188" s="18" t="s">
        <v>466</v>
      </c>
      <c r="J188" s="18" t="s">
        <v>78</v>
      </c>
      <c r="K188" s="18" t="b">
        <v>0</v>
      </c>
      <c r="L188" s="14">
        <v>2017</v>
      </c>
      <c r="M188" s="15">
        <v>395853</v>
      </c>
      <c r="N188" s="19">
        <v>41453</v>
      </c>
      <c r="O188" s="19">
        <v>41453</v>
      </c>
    </row>
    <row r="189" spans="1:15">
      <c r="A189" s="16">
        <v>2013</v>
      </c>
      <c r="B189" s="17" t="s">
        <v>449</v>
      </c>
      <c r="C189" s="17" t="s">
        <v>450</v>
      </c>
      <c r="D189" s="18">
        <v>1015042</v>
      </c>
      <c r="E189" s="18">
        <v>2</v>
      </c>
      <c r="F189" s="18"/>
      <c r="G189" s="18">
        <v>190</v>
      </c>
      <c r="H189" s="18">
        <v>2.2000000000000002</v>
      </c>
      <c r="I189" s="18"/>
      <c r="J189" s="18" t="s">
        <v>67</v>
      </c>
      <c r="K189" s="18" t="b">
        <v>0</v>
      </c>
      <c r="L189" s="14">
        <v>2021</v>
      </c>
      <c r="M189" s="15">
        <v>323383</v>
      </c>
      <c r="N189" s="19">
        <v>41453</v>
      </c>
      <c r="O189" s="19">
        <v>41453</v>
      </c>
    </row>
    <row r="190" spans="1:15">
      <c r="A190" s="16">
        <v>2013</v>
      </c>
      <c r="B190" s="17" t="s">
        <v>449</v>
      </c>
      <c r="C190" s="17" t="s">
        <v>450</v>
      </c>
      <c r="D190" s="18">
        <v>1015042</v>
      </c>
      <c r="E190" s="18">
        <v>2</v>
      </c>
      <c r="F190" s="18"/>
      <c r="G190" s="18">
        <v>450</v>
      </c>
      <c r="H190" s="18">
        <v>9.1</v>
      </c>
      <c r="I190" s="18" t="s">
        <v>453</v>
      </c>
      <c r="J190" s="18" t="s">
        <v>93</v>
      </c>
      <c r="K190" s="18" t="b">
        <v>1</v>
      </c>
      <c r="L190" s="14">
        <v>2021</v>
      </c>
      <c r="M190" s="15">
        <v>6.0100000000000001E-2</v>
      </c>
      <c r="N190" s="19">
        <v>41453</v>
      </c>
      <c r="O190" s="19">
        <v>41453</v>
      </c>
    </row>
    <row r="191" spans="1:15">
      <c r="A191" s="16">
        <v>2013</v>
      </c>
      <c r="B191" s="17" t="s">
        <v>449</v>
      </c>
      <c r="C191" s="17" t="s">
        <v>450</v>
      </c>
      <c r="D191" s="18">
        <v>1015042</v>
      </c>
      <c r="E191" s="18">
        <v>2</v>
      </c>
      <c r="F191" s="18"/>
      <c r="G191" s="18">
        <v>550</v>
      </c>
      <c r="H191" s="18">
        <v>10</v>
      </c>
      <c r="I191" s="18"/>
      <c r="J191" s="18" t="s">
        <v>106</v>
      </c>
      <c r="K191" s="18" t="b">
        <v>0</v>
      </c>
      <c r="L191" s="14">
        <v>2016</v>
      </c>
      <c r="M191" s="15">
        <v>387205</v>
      </c>
      <c r="N191" s="19">
        <v>41453</v>
      </c>
      <c r="O191" s="19">
        <v>41453</v>
      </c>
    </row>
    <row r="192" spans="1:15">
      <c r="A192" s="16">
        <v>2013</v>
      </c>
      <c r="B192" s="17" t="s">
        <v>449</v>
      </c>
      <c r="C192" s="17" t="s">
        <v>450</v>
      </c>
      <c r="D192" s="18">
        <v>1015042</v>
      </c>
      <c r="E192" s="18">
        <v>2</v>
      </c>
      <c r="F192" s="18"/>
      <c r="G192" s="18">
        <v>120</v>
      </c>
      <c r="H192" s="18">
        <v>2</v>
      </c>
      <c r="I192" s="18" t="s">
        <v>464</v>
      </c>
      <c r="J192" s="18" t="s">
        <v>19</v>
      </c>
      <c r="K192" s="18" t="b">
        <v>0</v>
      </c>
      <c r="L192" s="14">
        <v>2022</v>
      </c>
      <c r="M192" s="15">
        <v>8821704.5700000003</v>
      </c>
      <c r="N192" s="19">
        <v>41453</v>
      </c>
      <c r="O192" s="19">
        <v>41453</v>
      </c>
    </row>
    <row r="193" spans="1:15">
      <c r="A193" s="16">
        <v>2013</v>
      </c>
      <c r="B193" s="17" t="s">
        <v>449</v>
      </c>
      <c r="C193" s="17" t="s">
        <v>450</v>
      </c>
      <c r="D193" s="18">
        <v>1015042</v>
      </c>
      <c r="E193" s="18">
        <v>2</v>
      </c>
      <c r="F193" s="18"/>
      <c r="G193" s="18">
        <v>10</v>
      </c>
      <c r="H193" s="18">
        <v>1</v>
      </c>
      <c r="I193" s="18" t="s">
        <v>457</v>
      </c>
      <c r="J193" s="18" t="s">
        <v>24</v>
      </c>
      <c r="K193" s="18" t="b">
        <v>1</v>
      </c>
      <c r="L193" s="14">
        <v>2017</v>
      </c>
      <c r="M193" s="15">
        <v>8053018</v>
      </c>
      <c r="N193" s="19">
        <v>41453</v>
      </c>
      <c r="O193" s="19">
        <v>41453</v>
      </c>
    </row>
    <row r="194" spans="1:15">
      <c r="A194" s="16">
        <v>2013</v>
      </c>
      <c r="B194" s="17" t="s">
        <v>449</v>
      </c>
      <c r="C194" s="17" t="s">
        <v>450</v>
      </c>
      <c r="D194" s="18">
        <v>1015042</v>
      </c>
      <c r="E194" s="18">
        <v>2</v>
      </c>
      <c r="F194" s="18"/>
      <c r="G194" s="18">
        <v>550</v>
      </c>
      <c r="H194" s="18">
        <v>10</v>
      </c>
      <c r="I194" s="18"/>
      <c r="J194" s="18" t="s">
        <v>106</v>
      </c>
      <c r="K194" s="18" t="b">
        <v>0</v>
      </c>
      <c r="L194" s="14">
        <v>2020</v>
      </c>
      <c r="M194" s="15">
        <v>550000</v>
      </c>
      <c r="N194" s="19">
        <v>41453</v>
      </c>
      <c r="O194" s="19">
        <v>41453</v>
      </c>
    </row>
    <row r="195" spans="1:15">
      <c r="A195" s="16">
        <v>2013</v>
      </c>
      <c r="B195" s="17" t="s">
        <v>449</v>
      </c>
      <c r="C195" s="17" t="s">
        <v>450</v>
      </c>
      <c r="D195" s="18">
        <v>1015042</v>
      </c>
      <c r="E195" s="18">
        <v>2</v>
      </c>
      <c r="F195" s="18"/>
      <c r="G195" s="18">
        <v>590</v>
      </c>
      <c r="H195" s="18">
        <v>11.2</v>
      </c>
      <c r="I195" s="18"/>
      <c r="J195" s="18" t="s">
        <v>110</v>
      </c>
      <c r="K195" s="18" t="b">
        <v>1</v>
      </c>
      <c r="L195" s="14">
        <v>2015</v>
      </c>
      <c r="M195" s="15">
        <v>1220239</v>
      </c>
      <c r="N195" s="19">
        <v>41453</v>
      </c>
      <c r="O195" s="19">
        <v>41453</v>
      </c>
    </row>
    <row r="196" spans="1:15">
      <c r="A196" s="16">
        <v>2013</v>
      </c>
      <c r="B196" s="17" t="s">
        <v>449</v>
      </c>
      <c r="C196" s="17" t="s">
        <v>450</v>
      </c>
      <c r="D196" s="18">
        <v>1015042</v>
      </c>
      <c r="E196" s="18">
        <v>2</v>
      </c>
      <c r="F196" s="18"/>
      <c r="G196" s="18">
        <v>460</v>
      </c>
      <c r="H196" s="18">
        <v>9.1999999999999993</v>
      </c>
      <c r="I196" s="18" t="s">
        <v>458</v>
      </c>
      <c r="J196" s="18" t="s">
        <v>94</v>
      </c>
      <c r="K196" s="18" t="b">
        <v>0</v>
      </c>
      <c r="L196" s="14">
        <v>2019</v>
      </c>
      <c r="M196" s="15">
        <v>7.7499999999999999E-2</v>
      </c>
      <c r="N196" s="19">
        <v>41453</v>
      </c>
      <c r="O196" s="19">
        <v>41453</v>
      </c>
    </row>
    <row r="197" spans="1:15">
      <c r="A197" s="16">
        <v>2013</v>
      </c>
      <c r="B197" s="17" t="s">
        <v>449</v>
      </c>
      <c r="C197" s="17" t="s">
        <v>450</v>
      </c>
      <c r="D197" s="18">
        <v>1015042</v>
      </c>
      <c r="E197" s="18">
        <v>2</v>
      </c>
      <c r="F197" s="18"/>
      <c r="G197" s="18">
        <v>380</v>
      </c>
      <c r="H197" s="18">
        <v>6.2</v>
      </c>
      <c r="I197" s="18" t="s">
        <v>460</v>
      </c>
      <c r="J197" s="18" t="s">
        <v>88</v>
      </c>
      <c r="K197" s="18" t="b">
        <v>0</v>
      </c>
      <c r="L197" s="14">
        <v>2019</v>
      </c>
      <c r="M197" s="15">
        <v>0.1263</v>
      </c>
      <c r="N197" s="19">
        <v>41453</v>
      </c>
      <c r="O197" s="19">
        <v>41453</v>
      </c>
    </row>
    <row r="198" spans="1:15">
      <c r="A198" s="16">
        <v>2013</v>
      </c>
      <c r="B198" s="17" t="s">
        <v>449</v>
      </c>
      <c r="C198" s="17" t="s">
        <v>450</v>
      </c>
      <c r="D198" s="18">
        <v>1015042</v>
      </c>
      <c r="E198" s="18">
        <v>2</v>
      </c>
      <c r="F198" s="18"/>
      <c r="G198" s="18">
        <v>300</v>
      </c>
      <c r="H198" s="18">
        <v>5</v>
      </c>
      <c r="I198" s="18" t="s">
        <v>466</v>
      </c>
      <c r="J198" s="18" t="s">
        <v>78</v>
      </c>
      <c r="K198" s="18" t="b">
        <v>0</v>
      </c>
      <c r="L198" s="14">
        <v>2014</v>
      </c>
      <c r="M198" s="15">
        <v>436151</v>
      </c>
      <c r="N198" s="19">
        <v>41453</v>
      </c>
      <c r="O198" s="19">
        <v>41453</v>
      </c>
    </row>
    <row r="199" spans="1:15">
      <c r="A199" s="16">
        <v>2013</v>
      </c>
      <c r="B199" s="17" t="s">
        <v>449</v>
      </c>
      <c r="C199" s="17" t="s">
        <v>450</v>
      </c>
      <c r="D199" s="18">
        <v>1015042</v>
      </c>
      <c r="E199" s="18">
        <v>2</v>
      </c>
      <c r="F199" s="18"/>
      <c r="G199" s="18">
        <v>40</v>
      </c>
      <c r="H199" s="18" t="s">
        <v>41</v>
      </c>
      <c r="I199" s="18"/>
      <c r="J199" s="18" t="s">
        <v>42</v>
      </c>
      <c r="K199" s="18" t="b">
        <v>1</v>
      </c>
      <c r="L199" s="14">
        <v>2015</v>
      </c>
      <c r="M199" s="15">
        <v>6365</v>
      </c>
      <c r="N199" s="19">
        <v>41453</v>
      </c>
      <c r="O199" s="19">
        <v>41453</v>
      </c>
    </row>
    <row r="200" spans="1:15">
      <c r="A200" s="16">
        <v>2013</v>
      </c>
      <c r="B200" s="17" t="s">
        <v>449</v>
      </c>
      <c r="C200" s="17" t="s">
        <v>450</v>
      </c>
      <c r="D200" s="18">
        <v>1015042</v>
      </c>
      <c r="E200" s="18">
        <v>2</v>
      </c>
      <c r="F200" s="18"/>
      <c r="G200" s="18">
        <v>560</v>
      </c>
      <c r="H200" s="18">
        <v>10.1</v>
      </c>
      <c r="I200" s="18"/>
      <c r="J200" s="18" t="s">
        <v>107</v>
      </c>
      <c r="K200" s="18" t="b">
        <v>0</v>
      </c>
      <c r="L200" s="14">
        <v>2015</v>
      </c>
      <c r="M200" s="15">
        <v>431751</v>
      </c>
      <c r="N200" s="19">
        <v>41453</v>
      </c>
      <c r="O200" s="19">
        <v>41453</v>
      </c>
    </row>
    <row r="201" spans="1:15">
      <c r="A201" s="16">
        <v>2013</v>
      </c>
      <c r="B201" s="17" t="s">
        <v>449</v>
      </c>
      <c r="C201" s="17" t="s">
        <v>450</v>
      </c>
      <c r="D201" s="18">
        <v>1015042</v>
      </c>
      <c r="E201" s="18">
        <v>2</v>
      </c>
      <c r="F201" s="18"/>
      <c r="G201" s="18">
        <v>380</v>
      </c>
      <c r="H201" s="18">
        <v>6.2</v>
      </c>
      <c r="I201" s="18" t="s">
        <v>460</v>
      </c>
      <c r="J201" s="18" t="s">
        <v>88</v>
      </c>
      <c r="K201" s="18" t="b">
        <v>0</v>
      </c>
      <c r="L201" s="14">
        <v>2017</v>
      </c>
      <c r="M201" s="15">
        <v>0.26129999999999998</v>
      </c>
      <c r="N201" s="19">
        <v>41453</v>
      </c>
      <c r="O201" s="19">
        <v>41453</v>
      </c>
    </row>
    <row r="202" spans="1:15">
      <c r="A202" s="16">
        <v>2013</v>
      </c>
      <c r="B202" s="17" t="s">
        <v>449</v>
      </c>
      <c r="C202" s="17" t="s">
        <v>450</v>
      </c>
      <c r="D202" s="18">
        <v>1015042</v>
      </c>
      <c r="E202" s="18">
        <v>2</v>
      </c>
      <c r="F202" s="18"/>
      <c r="G202" s="18">
        <v>50</v>
      </c>
      <c r="H202" s="18" t="s">
        <v>43</v>
      </c>
      <c r="I202" s="18"/>
      <c r="J202" s="18" t="s">
        <v>44</v>
      </c>
      <c r="K202" s="18" t="b">
        <v>1</v>
      </c>
      <c r="L202" s="14">
        <v>2016</v>
      </c>
      <c r="M202" s="15">
        <v>2437800</v>
      </c>
      <c r="N202" s="19">
        <v>41453</v>
      </c>
      <c r="O202" s="19">
        <v>41453</v>
      </c>
    </row>
    <row r="203" spans="1:15">
      <c r="A203" s="16">
        <v>2013</v>
      </c>
      <c r="B203" s="17" t="s">
        <v>449</v>
      </c>
      <c r="C203" s="17" t="s">
        <v>450</v>
      </c>
      <c r="D203" s="18">
        <v>1015042</v>
      </c>
      <c r="E203" s="18">
        <v>2</v>
      </c>
      <c r="F203" s="18"/>
      <c r="G203" s="18">
        <v>40</v>
      </c>
      <c r="H203" s="18" t="s">
        <v>41</v>
      </c>
      <c r="I203" s="18"/>
      <c r="J203" s="18" t="s">
        <v>42</v>
      </c>
      <c r="K203" s="18" t="b">
        <v>1</v>
      </c>
      <c r="L203" s="14">
        <v>2013</v>
      </c>
      <c r="M203" s="15">
        <v>6000</v>
      </c>
      <c r="N203" s="19">
        <v>41453</v>
      </c>
      <c r="O203" s="19">
        <v>41453</v>
      </c>
    </row>
    <row r="204" spans="1:15">
      <c r="A204" s="16">
        <v>2013</v>
      </c>
      <c r="B204" s="17" t="s">
        <v>449</v>
      </c>
      <c r="C204" s="17" t="s">
        <v>450</v>
      </c>
      <c r="D204" s="18">
        <v>1015042</v>
      </c>
      <c r="E204" s="18">
        <v>2</v>
      </c>
      <c r="F204" s="18"/>
      <c r="G204" s="18">
        <v>540</v>
      </c>
      <c r="H204" s="18" t="s">
        <v>104</v>
      </c>
      <c r="I204" s="18" t="s">
        <v>452</v>
      </c>
      <c r="J204" s="18" t="s">
        <v>105</v>
      </c>
      <c r="K204" s="18" t="b">
        <v>0</v>
      </c>
      <c r="L204" s="14">
        <v>2016</v>
      </c>
      <c r="M204" s="15">
        <v>145</v>
      </c>
      <c r="N204" s="19">
        <v>41453</v>
      </c>
      <c r="O204" s="19">
        <v>41453</v>
      </c>
    </row>
    <row r="205" spans="1:15">
      <c r="A205" s="16">
        <v>2013</v>
      </c>
      <c r="B205" s="17" t="s">
        <v>449</v>
      </c>
      <c r="C205" s="17" t="s">
        <v>450</v>
      </c>
      <c r="D205" s="18">
        <v>1015042</v>
      </c>
      <c r="E205" s="18">
        <v>2</v>
      </c>
      <c r="F205" s="18"/>
      <c r="G205" s="18">
        <v>540</v>
      </c>
      <c r="H205" s="18" t="s">
        <v>104</v>
      </c>
      <c r="I205" s="18" t="s">
        <v>452</v>
      </c>
      <c r="J205" s="18" t="s">
        <v>105</v>
      </c>
      <c r="K205" s="18" t="b">
        <v>0</v>
      </c>
      <c r="L205" s="14">
        <v>2022</v>
      </c>
      <c r="M205" s="15">
        <v>899</v>
      </c>
      <c r="N205" s="19">
        <v>41453</v>
      </c>
      <c r="O205" s="19">
        <v>41453</v>
      </c>
    </row>
    <row r="206" spans="1:15">
      <c r="A206" s="16">
        <v>2013</v>
      </c>
      <c r="B206" s="17" t="s">
        <v>449</v>
      </c>
      <c r="C206" s="17" t="s">
        <v>450</v>
      </c>
      <c r="D206" s="18">
        <v>1015042</v>
      </c>
      <c r="E206" s="18">
        <v>2</v>
      </c>
      <c r="F206" s="18"/>
      <c r="G206" s="18">
        <v>470</v>
      </c>
      <c r="H206" s="18">
        <v>9.3000000000000007</v>
      </c>
      <c r="I206" s="18" t="s">
        <v>453</v>
      </c>
      <c r="J206" s="18" t="s">
        <v>454</v>
      </c>
      <c r="K206" s="18" t="b">
        <v>1</v>
      </c>
      <c r="L206" s="14">
        <v>2013</v>
      </c>
      <c r="M206" s="15">
        <v>5.0099999999999999E-2</v>
      </c>
      <c r="N206" s="19">
        <v>41453</v>
      </c>
      <c r="O206" s="19">
        <v>41453</v>
      </c>
    </row>
    <row r="207" spans="1:15">
      <c r="A207" s="16">
        <v>2013</v>
      </c>
      <c r="B207" s="17" t="s">
        <v>449</v>
      </c>
      <c r="C207" s="17" t="s">
        <v>450</v>
      </c>
      <c r="D207" s="18">
        <v>1015042</v>
      </c>
      <c r="E207" s="18">
        <v>2</v>
      </c>
      <c r="F207" s="18"/>
      <c r="G207" s="18">
        <v>650</v>
      </c>
      <c r="H207" s="18">
        <v>11.6</v>
      </c>
      <c r="I207" s="18"/>
      <c r="J207" s="18" t="s">
        <v>118</v>
      </c>
      <c r="K207" s="18" t="b">
        <v>1</v>
      </c>
      <c r="L207" s="14">
        <v>2013</v>
      </c>
      <c r="M207" s="15">
        <v>40000</v>
      </c>
      <c r="N207" s="19">
        <v>41453</v>
      </c>
      <c r="O207" s="19">
        <v>41453</v>
      </c>
    </row>
    <row r="208" spans="1:15">
      <c r="A208" s="16">
        <v>2013</v>
      </c>
      <c r="B208" s="17" t="s">
        <v>449</v>
      </c>
      <c r="C208" s="17" t="s">
        <v>450</v>
      </c>
      <c r="D208" s="18">
        <v>1015042</v>
      </c>
      <c r="E208" s="18">
        <v>2</v>
      </c>
      <c r="F208" s="18"/>
      <c r="G208" s="18">
        <v>180</v>
      </c>
      <c r="H208" s="18" t="s">
        <v>65</v>
      </c>
      <c r="I208" s="18"/>
      <c r="J208" s="18" t="s">
        <v>66</v>
      </c>
      <c r="K208" s="18" t="b">
        <v>0</v>
      </c>
      <c r="L208" s="14">
        <v>2014</v>
      </c>
      <c r="M208" s="15">
        <v>193787</v>
      </c>
      <c r="N208" s="19">
        <v>41453</v>
      </c>
      <c r="O208" s="19">
        <v>41453</v>
      </c>
    </row>
    <row r="209" spans="1:15">
      <c r="A209" s="16">
        <v>2013</v>
      </c>
      <c r="B209" s="17" t="s">
        <v>449</v>
      </c>
      <c r="C209" s="17" t="s">
        <v>450</v>
      </c>
      <c r="D209" s="18">
        <v>1015042</v>
      </c>
      <c r="E209" s="18">
        <v>2</v>
      </c>
      <c r="F209" s="18"/>
      <c r="G209" s="18">
        <v>590</v>
      </c>
      <c r="H209" s="18">
        <v>11.2</v>
      </c>
      <c r="I209" s="18"/>
      <c r="J209" s="18" t="s">
        <v>110</v>
      </c>
      <c r="K209" s="18" t="b">
        <v>1</v>
      </c>
      <c r="L209" s="14">
        <v>2014</v>
      </c>
      <c r="M209" s="15">
        <v>1173307</v>
      </c>
      <c r="N209" s="19">
        <v>41453</v>
      </c>
      <c r="O209" s="19">
        <v>41453</v>
      </c>
    </row>
    <row r="210" spans="1:15">
      <c r="A210" s="16">
        <v>2013</v>
      </c>
      <c r="B210" s="17" t="s">
        <v>449</v>
      </c>
      <c r="C210" s="17" t="s">
        <v>450</v>
      </c>
      <c r="D210" s="18">
        <v>1015042</v>
      </c>
      <c r="E210" s="18">
        <v>2</v>
      </c>
      <c r="F210" s="18"/>
      <c r="G210" s="18">
        <v>350</v>
      </c>
      <c r="H210" s="18">
        <v>6</v>
      </c>
      <c r="I210" s="18"/>
      <c r="J210" s="18" t="s">
        <v>25</v>
      </c>
      <c r="K210" s="18" t="b">
        <v>1</v>
      </c>
      <c r="L210" s="14">
        <v>2015</v>
      </c>
      <c r="M210" s="15">
        <v>2887006.43</v>
      </c>
      <c r="N210" s="19">
        <v>41453</v>
      </c>
      <c r="O210" s="19">
        <v>41453</v>
      </c>
    </row>
    <row r="211" spans="1:15">
      <c r="A211" s="16">
        <v>2013</v>
      </c>
      <c r="B211" s="17" t="s">
        <v>449</v>
      </c>
      <c r="C211" s="17" t="s">
        <v>450</v>
      </c>
      <c r="D211" s="18">
        <v>1015042</v>
      </c>
      <c r="E211" s="18">
        <v>2</v>
      </c>
      <c r="F211" s="18"/>
      <c r="G211" s="18">
        <v>620</v>
      </c>
      <c r="H211" s="18" t="s">
        <v>114</v>
      </c>
      <c r="I211" s="18"/>
      <c r="J211" s="18" t="s">
        <v>115</v>
      </c>
      <c r="K211" s="18" t="b">
        <v>1</v>
      </c>
      <c r="L211" s="14">
        <v>2013</v>
      </c>
      <c r="M211" s="15">
        <v>2643473</v>
      </c>
      <c r="N211" s="19">
        <v>41453</v>
      </c>
      <c r="O211" s="19">
        <v>41453</v>
      </c>
    </row>
    <row r="212" spans="1:15">
      <c r="A212" s="16">
        <v>2013</v>
      </c>
      <c r="B212" s="17" t="s">
        <v>449</v>
      </c>
      <c r="C212" s="17" t="s">
        <v>450</v>
      </c>
      <c r="D212" s="18">
        <v>1015042</v>
      </c>
      <c r="E212" s="18">
        <v>2</v>
      </c>
      <c r="F212" s="18"/>
      <c r="G212" s="18">
        <v>510</v>
      </c>
      <c r="H212" s="18">
        <v>9.6999999999999993</v>
      </c>
      <c r="I212" s="18"/>
      <c r="J212" s="18" t="s">
        <v>467</v>
      </c>
      <c r="K212" s="18" t="b">
        <v>1</v>
      </c>
      <c r="L212" s="14">
        <v>2016</v>
      </c>
      <c r="M212" s="15">
        <v>8.2799999999999999E-2</v>
      </c>
      <c r="N212" s="19">
        <v>41453</v>
      </c>
      <c r="O212" s="19">
        <v>41453</v>
      </c>
    </row>
    <row r="213" spans="1:15">
      <c r="A213" s="16">
        <v>2013</v>
      </c>
      <c r="B213" s="17" t="s">
        <v>449</v>
      </c>
      <c r="C213" s="17" t="s">
        <v>450</v>
      </c>
      <c r="D213" s="18">
        <v>1015042</v>
      </c>
      <c r="E213" s="18">
        <v>2</v>
      </c>
      <c r="F213" s="18"/>
      <c r="G213" s="18">
        <v>450</v>
      </c>
      <c r="H213" s="18">
        <v>9.1</v>
      </c>
      <c r="I213" s="18" t="s">
        <v>453</v>
      </c>
      <c r="J213" s="18" t="s">
        <v>93</v>
      </c>
      <c r="K213" s="18" t="b">
        <v>1</v>
      </c>
      <c r="L213" s="14">
        <v>2014</v>
      </c>
      <c r="M213" s="15">
        <v>8.2299999999999998E-2</v>
      </c>
      <c r="N213" s="19">
        <v>41453</v>
      </c>
      <c r="O213" s="19">
        <v>41453</v>
      </c>
    </row>
    <row r="214" spans="1:15">
      <c r="A214" s="16">
        <v>2013</v>
      </c>
      <c r="B214" s="17" t="s">
        <v>449</v>
      </c>
      <c r="C214" s="17" t="s">
        <v>450</v>
      </c>
      <c r="D214" s="18">
        <v>1015042</v>
      </c>
      <c r="E214" s="18">
        <v>2</v>
      </c>
      <c r="F214" s="18"/>
      <c r="G214" s="18">
        <v>460</v>
      </c>
      <c r="H214" s="18">
        <v>9.1999999999999993</v>
      </c>
      <c r="I214" s="18" t="s">
        <v>458</v>
      </c>
      <c r="J214" s="18" t="s">
        <v>94</v>
      </c>
      <c r="K214" s="18" t="b">
        <v>0</v>
      </c>
      <c r="L214" s="14">
        <v>2013</v>
      </c>
      <c r="M214" s="15">
        <v>5.0099999999999999E-2</v>
      </c>
      <c r="N214" s="19">
        <v>41453</v>
      </c>
      <c r="O214" s="19">
        <v>41453</v>
      </c>
    </row>
    <row r="215" spans="1:15">
      <c r="A215" s="16">
        <v>2013</v>
      </c>
      <c r="B215" s="17" t="s">
        <v>449</v>
      </c>
      <c r="C215" s="17" t="s">
        <v>450</v>
      </c>
      <c r="D215" s="18">
        <v>1015042</v>
      </c>
      <c r="E215" s="18">
        <v>2</v>
      </c>
      <c r="F215" s="18"/>
      <c r="G215" s="18">
        <v>510</v>
      </c>
      <c r="H215" s="18">
        <v>9.6999999999999993</v>
      </c>
      <c r="I215" s="18"/>
      <c r="J215" s="18" t="s">
        <v>467</v>
      </c>
      <c r="K215" s="18" t="b">
        <v>1</v>
      </c>
      <c r="L215" s="14">
        <v>2019</v>
      </c>
      <c r="M215" s="15">
        <v>8.8099999999999998E-2</v>
      </c>
      <c r="N215" s="19">
        <v>41453</v>
      </c>
      <c r="O215" s="19">
        <v>41453</v>
      </c>
    </row>
    <row r="216" spans="1:15">
      <c r="A216" s="16">
        <v>2013</v>
      </c>
      <c r="B216" s="17" t="s">
        <v>449</v>
      </c>
      <c r="C216" s="17" t="s">
        <v>450</v>
      </c>
      <c r="D216" s="18">
        <v>1015042</v>
      </c>
      <c r="E216" s="18">
        <v>2</v>
      </c>
      <c r="F216" s="18"/>
      <c r="G216" s="18">
        <v>510</v>
      </c>
      <c r="H216" s="18">
        <v>9.6999999999999993</v>
      </c>
      <c r="I216" s="18"/>
      <c r="J216" s="18" t="s">
        <v>467</v>
      </c>
      <c r="K216" s="18" t="b">
        <v>1</v>
      </c>
      <c r="L216" s="14">
        <v>2022</v>
      </c>
      <c r="M216" s="15">
        <v>9.1700000000000004E-2</v>
      </c>
      <c r="N216" s="19">
        <v>41453</v>
      </c>
      <c r="O216" s="19">
        <v>41453</v>
      </c>
    </row>
    <row r="217" spans="1:15">
      <c r="A217" s="16">
        <v>2013</v>
      </c>
      <c r="B217" s="17" t="s">
        <v>449</v>
      </c>
      <c r="C217" s="17" t="s">
        <v>450</v>
      </c>
      <c r="D217" s="18">
        <v>1015042</v>
      </c>
      <c r="E217" s="18">
        <v>2</v>
      </c>
      <c r="F217" s="18"/>
      <c r="G217" s="18">
        <v>390</v>
      </c>
      <c r="H217" s="18">
        <v>6.3</v>
      </c>
      <c r="I217" s="18" t="s">
        <v>459</v>
      </c>
      <c r="J217" s="18" t="s">
        <v>89</v>
      </c>
      <c r="K217" s="18" t="b">
        <v>0</v>
      </c>
      <c r="L217" s="14">
        <v>2013</v>
      </c>
      <c r="M217" s="15">
        <v>0.38080000000000003</v>
      </c>
      <c r="N217" s="19">
        <v>41453</v>
      </c>
      <c r="O217" s="19">
        <v>41453</v>
      </c>
    </row>
    <row r="218" spans="1:15">
      <c r="A218" s="16">
        <v>2013</v>
      </c>
      <c r="B218" s="17" t="s">
        <v>449</v>
      </c>
      <c r="C218" s="17" t="s">
        <v>450</v>
      </c>
      <c r="D218" s="18">
        <v>1015042</v>
      </c>
      <c r="E218" s="18">
        <v>2</v>
      </c>
      <c r="F218" s="18"/>
      <c r="G218" s="18">
        <v>530</v>
      </c>
      <c r="H218" s="18">
        <v>9.8000000000000007</v>
      </c>
      <c r="I218" s="18" t="s">
        <v>456</v>
      </c>
      <c r="J218" s="18" t="s">
        <v>103</v>
      </c>
      <c r="K218" s="18" t="b">
        <v>0</v>
      </c>
      <c r="L218" s="14">
        <v>2022</v>
      </c>
      <c r="M218" s="15">
        <v>899</v>
      </c>
      <c r="N218" s="19">
        <v>41453</v>
      </c>
      <c r="O218" s="19">
        <v>41453</v>
      </c>
    </row>
    <row r="219" spans="1:15">
      <c r="A219" s="16">
        <v>2013</v>
      </c>
      <c r="B219" s="17" t="s">
        <v>449</v>
      </c>
      <c r="C219" s="17" t="s">
        <v>450</v>
      </c>
      <c r="D219" s="18">
        <v>1015042</v>
      </c>
      <c r="E219" s="18">
        <v>2</v>
      </c>
      <c r="F219" s="18"/>
      <c r="G219" s="18">
        <v>480</v>
      </c>
      <c r="H219" s="18">
        <v>9.4</v>
      </c>
      <c r="I219" s="18" t="s">
        <v>458</v>
      </c>
      <c r="J219" s="18" t="s">
        <v>95</v>
      </c>
      <c r="K219" s="18" t="b">
        <v>0</v>
      </c>
      <c r="L219" s="14">
        <v>2021</v>
      </c>
      <c r="M219" s="15">
        <v>6.0100000000000001E-2</v>
      </c>
      <c r="N219" s="19">
        <v>41453</v>
      </c>
      <c r="O219" s="19">
        <v>41453</v>
      </c>
    </row>
    <row r="220" spans="1:15">
      <c r="A220" s="16">
        <v>2013</v>
      </c>
      <c r="B220" s="17" t="s">
        <v>449</v>
      </c>
      <c r="C220" s="17" t="s">
        <v>450</v>
      </c>
      <c r="D220" s="18">
        <v>1015042</v>
      </c>
      <c r="E220" s="18">
        <v>2</v>
      </c>
      <c r="F220" s="18"/>
      <c r="G220" s="18">
        <v>470</v>
      </c>
      <c r="H220" s="18">
        <v>9.3000000000000007</v>
      </c>
      <c r="I220" s="18" t="s">
        <v>453</v>
      </c>
      <c r="J220" s="18" t="s">
        <v>454</v>
      </c>
      <c r="K220" s="18" t="b">
        <v>1</v>
      </c>
      <c r="L220" s="14">
        <v>2014</v>
      </c>
      <c r="M220" s="15">
        <v>8.2299999999999998E-2</v>
      </c>
      <c r="N220" s="19">
        <v>41453</v>
      </c>
      <c r="O220" s="19">
        <v>41453</v>
      </c>
    </row>
    <row r="221" spans="1:15">
      <c r="A221" s="16">
        <v>2013</v>
      </c>
      <c r="B221" s="17" t="s">
        <v>449</v>
      </c>
      <c r="C221" s="17" t="s">
        <v>450</v>
      </c>
      <c r="D221" s="18">
        <v>1015042</v>
      </c>
      <c r="E221" s="18">
        <v>2</v>
      </c>
      <c r="F221" s="18"/>
      <c r="G221" s="18">
        <v>520</v>
      </c>
      <c r="H221" s="18" t="s">
        <v>101</v>
      </c>
      <c r="I221" s="18"/>
      <c r="J221" s="18" t="s">
        <v>463</v>
      </c>
      <c r="K221" s="18" t="b">
        <v>1</v>
      </c>
      <c r="L221" s="14">
        <v>2013</v>
      </c>
      <c r="M221" s="15">
        <v>9.98E-2</v>
      </c>
      <c r="N221" s="19">
        <v>41453</v>
      </c>
      <c r="O221" s="19">
        <v>41453</v>
      </c>
    </row>
    <row r="222" spans="1:15">
      <c r="A222" s="16">
        <v>2013</v>
      </c>
      <c r="B222" s="17" t="s">
        <v>449</v>
      </c>
      <c r="C222" s="17" t="s">
        <v>450</v>
      </c>
      <c r="D222" s="18">
        <v>1015042</v>
      </c>
      <c r="E222" s="18">
        <v>2</v>
      </c>
      <c r="F222" s="18"/>
      <c r="G222" s="18">
        <v>520</v>
      </c>
      <c r="H222" s="18" t="s">
        <v>101</v>
      </c>
      <c r="I222" s="18"/>
      <c r="J222" s="18" t="s">
        <v>463</v>
      </c>
      <c r="K222" s="18" t="b">
        <v>1</v>
      </c>
      <c r="L222" s="14">
        <v>2018</v>
      </c>
      <c r="M222" s="15">
        <v>8.3299999999999999E-2</v>
      </c>
      <c r="N222" s="19">
        <v>41453</v>
      </c>
      <c r="O222" s="19">
        <v>41453</v>
      </c>
    </row>
    <row r="223" spans="1:15">
      <c r="A223" s="16">
        <v>2013</v>
      </c>
      <c r="B223" s="17" t="s">
        <v>449</v>
      </c>
      <c r="C223" s="17" t="s">
        <v>450</v>
      </c>
      <c r="D223" s="18">
        <v>1015042</v>
      </c>
      <c r="E223" s="18">
        <v>2</v>
      </c>
      <c r="F223" s="18"/>
      <c r="G223" s="18">
        <v>430</v>
      </c>
      <c r="H223" s="18">
        <v>8.1999999999999993</v>
      </c>
      <c r="I223" s="18" t="s">
        <v>462</v>
      </c>
      <c r="J223" s="18" t="s">
        <v>92</v>
      </c>
      <c r="K223" s="18" t="b">
        <v>0</v>
      </c>
      <c r="L223" s="14">
        <v>2014</v>
      </c>
      <c r="M223" s="15">
        <v>722532</v>
      </c>
      <c r="N223" s="19">
        <v>41453</v>
      </c>
      <c r="O223" s="19">
        <v>41453</v>
      </c>
    </row>
    <row r="224" spans="1:15">
      <c r="A224" s="16">
        <v>2013</v>
      </c>
      <c r="B224" s="17" t="s">
        <v>449</v>
      </c>
      <c r="C224" s="17" t="s">
        <v>450</v>
      </c>
      <c r="D224" s="18">
        <v>1015042</v>
      </c>
      <c r="E224" s="18">
        <v>2</v>
      </c>
      <c r="F224" s="18"/>
      <c r="G224" s="18">
        <v>560</v>
      </c>
      <c r="H224" s="18">
        <v>10.1</v>
      </c>
      <c r="I224" s="18"/>
      <c r="J224" s="18" t="s">
        <v>107</v>
      </c>
      <c r="K224" s="18" t="b">
        <v>0</v>
      </c>
      <c r="L224" s="14">
        <v>2022</v>
      </c>
      <c r="M224" s="15">
        <v>13948.43</v>
      </c>
      <c r="N224" s="19">
        <v>41453</v>
      </c>
      <c r="O224" s="19">
        <v>41453</v>
      </c>
    </row>
    <row r="225" spans="1:15">
      <c r="A225" s="16">
        <v>2013</v>
      </c>
      <c r="B225" s="17" t="s">
        <v>449</v>
      </c>
      <c r="C225" s="17" t="s">
        <v>450</v>
      </c>
      <c r="D225" s="18">
        <v>1015042</v>
      </c>
      <c r="E225" s="18">
        <v>2</v>
      </c>
      <c r="F225" s="18"/>
      <c r="G225" s="18">
        <v>430</v>
      </c>
      <c r="H225" s="18">
        <v>8.1999999999999993</v>
      </c>
      <c r="I225" s="18" t="s">
        <v>462</v>
      </c>
      <c r="J225" s="18" t="s">
        <v>92</v>
      </c>
      <c r="K225" s="18" t="b">
        <v>0</v>
      </c>
      <c r="L225" s="14">
        <v>2022</v>
      </c>
      <c r="M225" s="15">
        <v>853028</v>
      </c>
      <c r="N225" s="19">
        <v>41453</v>
      </c>
      <c r="O225" s="19">
        <v>41453</v>
      </c>
    </row>
    <row r="226" spans="1:15">
      <c r="A226" s="16">
        <v>2013</v>
      </c>
      <c r="B226" s="17" t="s">
        <v>449</v>
      </c>
      <c r="C226" s="17" t="s">
        <v>450</v>
      </c>
      <c r="D226" s="18">
        <v>1015042</v>
      </c>
      <c r="E226" s="18">
        <v>2</v>
      </c>
      <c r="F226" s="18"/>
      <c r="G226" s="18">
        <v>480</v>
      </c>
      <c r="H226" s="18">
        <v>9.4</v>
      </c>
      <c r="I226" s="18" t="s">
        <v>458</v>
      </c>
      <c r="J226" s="18" t="s">
        <v>95</v>
      </c>
      <c r="K226" s="18" t="b">
        <v>0</v>
      </c>
      <c r="L226" s="14">
        <v>2014</v>
      </c>
      <c r="M226" s="15">
        <v>8.2299999999999998E-2</v>
      </c>
      <c r="N226" s="19">
        <v>41453</v>
      </c>
      <c r="O226" s="19">
        <v>41453</v>
      </c>
    </row>
    <row r="227" spans="1:15">
      <c r="A227" s="16">
        <v>2013</v>
      </c>
      <c r="B227" s="17" t="s">
        <v>449</v>
      </c>
      <c r="C227" s="17" t="s">
        <v>450</v>
      </c>
      <c r="D227" s="18">
        <v>1015042</v>
      </c>
      <c r="E227" s="18">
        <v>2</v>
      </c>
      <c r="F227" s="18"/>
      <c r="G227" s="18">
        <v>480</v>
      </c>
      <c r="H227" s="18">
        <v>9.4</v>
      </c>
      <c r="I227" s="18" t="s">
        <v>458</v>
      </c>
      <c r="J227" s="18" t="s">
        <v>95</v>
      </c>
      <c r="K227" s="18" t="b">
        <v>0</v>
      </c>
      <c r="L227" s="14">
        <v>2016</v>
      </c>
      <c r="M227" s="15">
        <v>6.83E-2</v>
      </c>
      <c r="N227" s="19">
        <v>41453</v>
      </c>
      <c r="O227" s="19">
        <v>41453</v>
      </c>
    </row>
    <row r="228" spans="1:15">
      <c r="A228" s="16">
        <v>2013</v>
      </c>
      <c r="B228" s="17" t="s">
        <v>449</v>
      </c>
      <c r="C228" s="17" t="s">
        <v>450</v>
      </c>
      <c r="D228" s="18">
        <v>1015042</v>
      </c>
      <c r="E228" s="18">
        <v>2</v>
      </c>
      <c r="F228" s="18"/>
      <c r="G228" s="18">
        <v>510</v>
      </c>
      <c r="H228" s="18">
        <v>9.6999999999999993</v>
      </c>
      <c r="I228" s="18"/>
      <c r="J228" s="18" t="s">
        <v>467</v>
      </c>
      <c r="K228" s="18" t="b">
        <v>1</v>
      </c>
      <c r="L228" s="14">
        <v>2018</v>
      </c>
      <c r="M228" s="15">
        <v>8.3299999999999999E-2</v>
      </c>
      <c r="N228" s="19">
        <v>41453</v>
      </c>
      <c r="O228" s="19">
        <v>41453</v>
      </c>
    </row>
    <row r="229" spans="1:15">
      <c r="A229" s="16">
        <v>2013</v>
      </c>
      <c r="B229" s="17" t="s">
        <v>449</v>
      </c>
      <c r="C229" s="17" t="s">
        <v>450</v>
      </c>
      <c r="D229" s="18">
        <v>1015042</v>
      </c>
      <c r="E229" s="18">
        <v>2</v>
      </c>
      <c r="F229" s="18"/>
      <c r="G229" s="18">
        <v>30</v>
      </c>
      <c r="H229" s="18" t="s">
        <v>39</v>
      </c>
      <c r="I229" s="18"/>
      <c r="J229" s="18" t="s">
        <v>40</v>
      </c>
      <c r="K229" s="18" t="b">
        <v>1</v>
      </c>
      <c r="L229" s="14">
        <v>2015</v>
      </c>
      <c r="M229" s="15">
        <v>824404</v>
      </c>
      <c r="N229" s="19">
        <v>41453</v>
      </c>
      <c r="O229" s="19">
        <v>41453</v>
      </c>
    </row>
    <row r="230" spans="1:15">
      <c r="A230" s="16">
        <v>2013</v>
      </c>
      <c r="B230" s="17" t="s">
        <v>449</v>
      </c>
      <c r="C230" s="17" t="s">
        <v>450</v>
      </c>
      <c r="D230" s="18">
        <v>1015042</v>
      </c>
      <c r="E230" s="18">
        <v>2</v>
      </c>
      <c r="F230" s="18"/>
      <c r="G230" s="18">
        <v>530</v>
      </c>
      <c r="H230" s="18">
        <v>9.8000000000000007</v>
      </c>
      <c r="I230" s="18" t="s">
        <v>456</v>
      </c>
      <c r="J230" s="18" t="s">
        <v>103</v>
      </c>
      <c r="K230" s="18" t="b">
        <v>0</v>
      </c>
      <c r="L230" s="14">
        <v>2015</v>
      </c>
      <c r="M230" s="15">
        <v>107</v>
      </c>
      <c r="N230" s="19">
        <v>41453</v>
      </c>
      <c r="O230" s="19">
        <v>41453</v>
      </c>
    </row>
    <row r="231" spans="1:15">
      <c r="A231" s="16">
        <v>2013</v>
      </c>
      <c r="B231" s="17" t="s">
        <v>449</v>
      </c>
      <c r="C231" s="17" t="s">
        <v>450</v>
      </c>
      <c r="D231" s="18">
        <v>1015042</v>
      </c>
      <c r="E231" s="18">
        <v>2</v>
      </c>
      <c r="F231" s="18"/>
      <c r="G231" s="18">
        <v>640</v>
      </c>
      <c r="H231" s="18">
        <v>11.5</v>
      </c>
      <c r="I231" s="18"/>
      <c r="J231" s="18" t="s">
        <v>117</v>
      </c>
      <c r="K231" s="18" t="b">
        <v>1</v>
      </c>
      <c r="L231" s="14">
        <v>2014</v>
      </c>
      <c r="M231" s="15">
        <v>624596</v>
      </c>
      <c r="N231" s="19">
        <v>41453</v>
      </c>
      <c r="O231" s="19">
        <v>41453</v>
      </c>
    </row>
    <row r="232" spans="1:15">
      <c r="A232" s="16">
        <v>2013</v>
      </c>
      <c r="B232" s="17" t="s">
        <v>449</v>
      </c>
      <c r="C232" s="17" t="s">
        <v>450</v>
      </c>
      <c r="D232" s="18">
        <v>1015042</v>
      </c>
      <c r="E232" s="18">
        <v>2</v>
      </c>
      <c r="F232" s="18"/>
      <c r="G232" s="18">
        <v>310</v>
      </c>
      <c r="H232" s="18">
        <v>5.0999999999999996</v>
      </c>
      <c r="I232" s="18"/>
      <c r="J232" s="18" t="s">
        <v>79</v>
      </c>
      <c r="K232" s="18" t="b">
        <v>1</v>
      </c>
      <c r="L232" s="14">
        <v>2016</v>
      </c>
      <c r="M232" s="15">
        <v>387205</v>
      </c>
      <c r="N232" s="19">
        <v>41453</v>
      </c>
      <c r="O232" s="19">
        <v>41453</v>
      </c>
    </row>
    <row r="233" spans="1:15">
      <c r="A233" s="16">
        <v>2013</v>
      </c>
      <c r="B233" s="17" t="s">
        <v>449</v>
      </c>
      <c r="C233" s="17" t="s">
        <v>450</v>
      </c>
      <c r="D233" s="18">
        <v>1015042</v>
      </c>
      <c r="E233" s="18">
        <v>2</v>
      </c>
      <c r="F233" s="18"/>
      <c r="G233" s="18">
        <v>380</v>
      </c>
      <c r="H233" s="18">
        <v>6.2</v>
      </c>
      <c r="I233" s="18" t="s">
        <v>460</v>
      </c>
      <c r="J233" s="18" t="s">
        <v>88</v>
      </c>
      <c r="K233" s="18" t="b">
        <v>0</v>
      </c>
      <c r="L233" s="14">
        <v>2014</v>
      </c>
      <c r="M233" s="15">
        <v>0.43330000000000002</v>
      </c>
      <c r="N233" s="19">
        <v>41453</v>
      </c>
      <c r="O233" s="19">
        <v>41453</v>
      </c>
    </row>
    <row r="234" spans="1:15">
      <c r="A234" s="16">
        <v>2013</v>
      </c>
      <c r="B234" s="17" t="s">
        <v>449</v>
      </c>
      <c r="C234" s="17" t="s">
        <v>450</v>
      </c>
      <c r="D234" s="18">
        <v>1015042</v>
      </c>
      <c r="E234" s="18">
        <v>2</v>
      </c>
      <c r="F234" s="18"/>
      <c r="G234" s="18">
        <v>460</v>
      </c>
      <c r="H234" s="18">
        <v>9.1999999999999993</v>
      </c>
      <c r="I234" s="18" t="s">
        <v>458</v>
      </c>
      <c r="J234" s="18" t="s">
        <v>94</v>
      </c>
      <c r="K234" s="18" t="b">
        <v>0</v>
      </c>
      <c r="L234" s="14">
        <v>2015</v>
      </c>
      <c r="M234" s="15">
        <v>8.2100000000000006E-2</v>
      </c>
      <c r="N234" s="19">
        <v>41453</v>
      </c>
      <c r="O234" s="19">
        <v>41453</v>
      </c>
    </row>
    <row r="235" spans="1:15">
      <c r="A235" s="16">
        <v>2013</v>
      </c>
      <c r="B235" s="17" t="s">
        <v>449</v>
      </c>
      <c r="C235" s="17" t="s">
        <v>450</v>
      </c>
      <c r="D235" s="18">
        <v>1015042</v>
      </c>
      <c r="E235" s="18">
        <v>2</v>
      </c>
      <c r="F235" s="18"/>
      <c r="G235" s="18">
        <v>130</v>
      </c>
      <c r="H235" s="18">
        <v>2.1</v>
      </c>
      <c r="I235" s="18"/>
      <c r="J235" s="18" t="s">
        <v>56</v>
      </c>
      <c r="K235" s="18" t="b">
        <v>1</v>
      </c>
      <c r="L235" s="14">
        <v>2020</v>
      </c>
      <c r="M235" s="15">
        <v>7722155</v>
      </c>
      <c r="N235" s="19">
        <v>41453</v>
      </c>
      <c r="O235" s="19">
        <v>41453</v>
      </c>
    </row>
    <row r="236" spans="1:15">
      <c r="A236" s="16">
        <v>2013</v>
      </c>
      <c r="B236" s="17" t="s">
        <v>449</v>
      </c>
      <c r="C236" s="17" t="s">
        <v>450</v>
      </c>
      <c r="D236" s="18">
        <v>1015042</v>
      </c>
      <c r="E236" s="18">
        <v>2</v>
      </c>
      <c r="F236" s="18"/>
      <c r="G236" s="18">
        <v>80</v>
      </c>
      <c r="H236" s="18" t="s">
        <v>49</v>
      </c>
      <c r="I236" s="18"/>
      <c r="J236" s="18" t="s">
        <v>50</v>
      </c>
      <c r="K236" s="18" t="b">
        <v>1</v>
      </c>
      <c r="L236" s="14">
        <v>2014</v>
      </c>
      <c r="M236" s="15">
        <v>1066573</v>
      </c>
      <c r="N236" s="19">
        <v>41453</v>
      </c>
      <c r="O236" s="19">
        <v>41453</v>
      </c>
    </row>
    <row r="237" spans="1:15">
      <c r="A237" s="16">
        <v>2013</v>
      </c>
      <c r="B237" s="17" t="s">
        <v>449</v>
      </c>
      <c r="C237" s="17" t="s">
        <v>450</v>
      </c>
      <c r="D237" s="18">
        <v>1015042</v>
      </c>
      <c r="E237" s="18">
        <v>2</v>
      </c>
      <c r="F237" s="18"/>
      <c r="G237" s="18">
        <v>120</v>
      </c>
      <c r="H237" s="18">
        <v>2</v>
      </c>
      <c r="I237" s="18" t="s">
        <v>464</v>
      </c>
      <c r="J237" s="18" t="s">
        <v>19</v>
      </c>
      <c r="K237" s="18" t="b">
        <v>0</v>
      </c>
      <c r="L237" s="14">
        <v>2015</v>
      </c>
      <c r="M237" s="15">
        <v>7258992</v>
      </c>
      <c r="N237" s="19">
        <v>41453</v>
      </c>
      <c r="O237" s="19">
        <v>41453</v>
      </c>
    </row>
    <row r="238" spans="1:15">
      <c r="A238" s="16">
        <v>2013</v>
      </c>
      <c r="B238" s="17" t="s">
        <v>449</v>
      </c>
      <c r="C238" s="17" t="s">
        <v>450</v>
      </c>
      <c r="D238" s="18">
        <v>1015042</v>
      </c>
      <c r="E238" s="18">
        <v>2</v>
      </c>
      <c r="F238" s="18"/>
      <c r="G238" s="18">
        <v>250</v>
      </c>
      <c r="H238" s="18" t="s">
        <v>72</v>
      </c>
      <c r="I238" s="18"/>
      <c r="J238" s="18" t="s">
        <v>73</v>
      </c>
      <c r="K238" s="18" t="b">
        <v>0</v>
      </c>
      <c r="L238" s="14">
        <v>2013</v>
      </c>
      <c r="M238" s="15">
        <v>75040</v>
      </c>
      <c r="N238" s="19">
        <v>41453</v>
      </c>
      <c r="O238" s="19">
        <v>41453</v>
      </c>
    </row>
    <row r="239" spans="1:15">
      <c r="A239" s="16">
        <v>2013</v>
      </c>
      <c r="B239" s="17" t="s">
        <v>449</v>
      </c>
      <c r="C239" s="17" t="s">
        <v>450</v>
      </c>
      <c r="D239" s="18">
        <v>1015042</v>
      </c>
      <c r="E239" s="18">
        <v>2</v>
      </c>
      <c r="F239" s="18"/>
      <c r="G239" s="18">
        <v>520</v>
      </c>
      <c r="H239" s="18" t="s">
        <v>101</v>
      </c>
      <c r="I239" s="18"/>
      <c r="J239" s="18" t="s">
        <v>463</v>
      </c>
      <c r="K239" s="18" t="b">
        <v>1</v>
      </c>
      <c r="L239" s="14">
        <v>2017</v>
      </c>
      <c r="M239" s="15">
        <v>8.5400000000000004E-2</v>
      </c>
      <c r="N239" s="19">
        <v>41453</v>
      </c>
      <c r="O239" s="19">
        <v>41453</v>
      </c>
    </row>
    <row r="240" spans="1:15">
      <c r="A240" s="16">
        <v>2013</v>
      </c>
      <c r="B240" s="17" t="s">
        <v>449</v>
      </c>
      <c r="C240" s="17" t="s">
        <v>450</v>
      </c>
      <c r="D240" s="18">
        <v>1015042</v>
      </c>
      <c r="E240" s="18">
        <v>2</v>
      </c>
      <c r="F240" s="18"/>
      <c r="G240" s="18">
        <v>180</v>
      </c>
      <c r="H240" s="18" t="s">
        <v>65</v>
      </c>
      <c r="I240" s="18"/>
      <c r="J240" s="18" t="s">
        <v>66</v>
      </c>
      <c r="K240" s="18" t="b">
        <v>0</v>
      </c>
      <c r="L240" s="14">
        <v>2018</v>
      </c>
      <c r="M240" s="15">
        <v>117022</v>
      </c>
      <c r="N240" s="19">
        <v>41453</v>
      </c>
      <c r="O240" s="19">
        <v>41453</v>
      </c>
    </row>
    <row r="241" spans="1:15">
      <c r="A241" s="16">
        <v>2013</v>
      </c>
      <c r="B241" s="17" t="s">
        <v>449</v>
      </c>
      <c r="C241" s="17" t="s">
        <v>450</v>
      </c>
      <c r="D241" s="18">
        <v>1015042</v>
      </c>
      <c r="E241" s="18">
        <v>2</v>
      </c>
      <c r="F241" s="18"/>
      <c r="G241" s="18">
        <v>190</v>
      </c>
      <c r="H241" s="18">
        <v>2.2000000000000002</v>
      </c>
      <c r="I241" s="18"/>
      <c r="J241" s="18" t="s">
        <v>67</v>
      </c>
      <c r="K241" s="18" t="b">
        <v>0</v>
      </c>
      <c r="L241" s="14">
        <v>2014</v>
      </c>
      <c r="M241" s="15">
        <v>722532</v>
      </c>
      <c r="N241" s="19">
        <v>41453</v>
      </c>
      <c r="O241" s="19">
        <v>41453</v>
      </c>
    </row>
    <row r="242" spans="1:15">
      <c r="A242" s="16">
        <v>2013</v>
      </c>
      <c r="B242" s="17" t="s">
        <v>449</v>
      </c>
      <c r="C242" s="17" t="s">
        <v>450</v>
      </c>
      <c r="D242" s="18">
        <v>1015042</v>
      </c>
      <c r="E242" s="18">
        <v>2</v>
      </c>
      <c r="F242" s="18"/>
      <c r="G242" s="18">
        <v>380</v>
      </c>
      <c r="H242" s="18">
        <v>6.2</v>
      </c>
      <c r="I242" s="18" t="s">
        <v>460</v>
      </c>
      <c r="J242" s="18" t="s">
        <v>88</v>
      </c>
      <c r="K242" s="18" t="b">
        <v>0</v>
      </c>
      <c r="L242" s="14">
        <v>2020</v>
      </c>
      <c r="M242" s="15">
        <v>5.9299999999999999E-2</v>
      </c>
      <c r="N242" s="19">
        <v>41453</v>
      </c>
      <c r="O242" s="19">
        <v>41453</v>
      </c>
    </row>
    <row r="243" spans="1:15">
      <c r="A243" s="16">
        <v>2013</v>
      </c>
      <c r="B243" s="17" t="s">
        <v>449</v>
      </c>
      <c r="C243" s="17" t="s">
        <v>450</v>
      </c>
      <c r="D243" s="18">
        <v>1015042</v>
      </c>
      <c r="E243" s="18">
        <v>2</v>
      </c>
      <c r="F243" s="18"/>
      <c r="G243" s="18">
        <v>450</v>
      </c>
      <c r="H243" s="18">
        <v>9.1</v>
      </c>
      <c r="I243" s="18" t="s">
        <v>453</v>
      </c>
      <c r="J243" s="18" t="s">
        <v>93</v>
      </c>
      <c r="K243" s="18" t="b">
        <v>1</v>
      </c>
      <c r="L243" s="14">
        <v>2015</v>
      </c>
      <c r="M243" s="15">
        <v>8.2100000000000006E-2</v>
      </c>
      <c r="N243" s="19">
        <v>41453</v>
      </c>
      <c r="O243" s="19">
        <v>41453</v>
      </c>
    </row>
    <row r="244" spans="1:15">
      <c r="A244" s="16">
        <v>2013</v>
      </c>
      <c r="B244" s="17" t="s">
        <v>449</v>
      </c>
      <c r="C244" s="17" t="s">
        <v>450</v>
      </c>
      <c r="D244" s="18">
        <v>1015042</v>
      </c>
      <c r="E244" s="18">
        <v>2</v>
      </c>
      <c r="F244" s="18"/>
      <c r="G244" s="18">
        <v>350</v>
      </c>
      <c r="H244" s="18">
        <v>6</v>
      </c>
      <c r="I244" s="18"/>
      <c r="J244" s="18" t="s">
        <v>25</v>
      </c>
      <c r="K244" s="18" t="b">
        <v>1</v>
      </c>
      <c r="L244" s="14">
        <v>2013</v>
      </c>
      <c r="M244" s="15">
        <v>3318757.43</v>
      </c>
      <c r="N244" s="19">
        <v>41453</v>
      </c>
      <c r="O244" s="19">
        <v>41453</v>
      </c>
    </row>
    <row r="245" spans="1:15">
      <c r="A245" s="16">
        <v>2013</v>
      </c>
      <c r="B245" s="17" t="s">
        <v>449</v>
      </c>
      <c r="C245" s="17" t="s">
        <v>450</v>
      </c>
      <c r="D245" s="18">
        <v>1015042</v>
      </c>
      <c r="E245" s="18">
        <v>2</v>
      </c>
      <c r="F245" s="18"/>
      <c r="G245" s="18">
        <v>550</v>
      </c>
      <c r="H245" s="18">
        <v>10</v>
      </c>
      <c r="I245" s="18"/>
      <c r="J245" s="18" t="s">
        <v>106</v>
      </c>
      <c r="K245" s="18" t="b">
        <v>0</v>
      </c>
      <c r="L245" s="14">
        <v>2022</v>
      </c>
      <c r="M245" s="15">
        <v>13948.43</v>
      </c>
      <c r="N245" s="19">
        <v>41453</v>
      </c>
      <c r="O245" s="19">
        <v>41453</v>
      </c>
    </row>
    <row r="246" spans="1:15">
      <c r="A246" s="16">
        <v>2013</v>
      </c>
      <c r="B246" s="17" t="s">
        <v>449</v>
      </c>
      <c r="C246" s="17" t="s">
        <v>450</v>
      </c>
      <c r="D246" s="18">
        <v>1015042</v>
      </c>
      <c r="E246" s="18">
        <v>2</v>
      </c>
      <c r="F246" s="18"/>
      <c r="G246" s="18">
        <v>390</v>
      </c>
      <c r="H246" s="18">
        <v>6.3</v>
      </c>
      <c r="I246" s="18" t="s">
        <v>459</v>
      </c>
      <c r="J246" s="18" t="s">
        <v>89</v>
      </c>
      <c r="K246" s="18" t="b">
        <v>0</v>
      </c>
      <c r="L246" s="14">
        <v>2015</v>
      </c>
      <c r="M246" s="15">
        <v>0.37540000000000001</v>
      </c>
      <c r="N246" s="19">
        <v>41453</v>
      </c>
      <c r="O246" s="19">
        <v>41453</v>
      </c>
    </row>
    <row r="247" spans="1:15">
      <c r="A247" s="16">
        <v>2013</v>
      </c>
      <c r="B247" s="17" t="s">
        <v>449</v>
      </c>
      <c r="C247" s="17" t="s">
        <v>450</v>
      </c>
      <c r="D247" s="18">
        <v>1015042</v>
      </c>
      <c r="E247" s="18">
        <v>2</v>
      </c>
      <c r="F247" s="18"/>
      <c r="G247" s="18">
        <v>300</v>
      </c>
      <c r="H247" s="18">
        <v>5</v>
      </c>
      <c r="I247" s="18" t="s">
        <v>466</v>
      </c>
      <c r="J247" s="18" t="s">
        <v>78</v>
      </c>
      <c r="K247" s="18" t="b">
        <v>0</v>
      </c>
      <c r="L247" s="14">
        <v>2015</v>
      </c>
      <c r="M247" s="15">
        <v>431751</v>
      </c>
      <c r="N247" s="19">
        <v>41453</v>
      </c>
      <c r="O247" s="19">
        <v>41453</v>
      </c>
    </row>
    <row r="248" spans="1:15">
      <c r="A248" s="16">
        <v>2013</v>
      </c>
      <c r="B248" s="17" t="s">
        <v>449</v>
      </c>
      <c r="C248" s="17" t="s">
        <v>450</v>
      </c>
      <c r="D248" s="18">
        <v>1015042</v>
      </c>
      <c r="E248" s="18">
        <v>2</v>
      </c>
      <c r="F248" s="18"/>
      <c r="G248" s="18">
        <v>190</v>
      </c>
      <c r="H248" s="18">
        <v>2.2000000000000002</v>
      </c>
      <c r="I248" s="18"/>
      <c r="J248" s="18" t="s">
        <v>67</v>
      </c>
      <c r="K248" s="18" t="b">
        <v>0</v>
      </c>
      <c r="L248" s="14">
        <v>2019</v>
      </c>
      <c r="M248" s="15">
        <v>197490</v>
      </c>
      <c r="N248" s="19">
        <v>41453</v>
      </c>
      <c r="O248" s="19">
        <v>41453</v>
      </c>
    </row>
    <row r="249" spans="1:15">
      <c r="A249" s="16">
        <v>2013</v>
      </c>
      <c r="B249" s="17" t="s">
        <v>449</v>
      </c>
      <c r="C249" s="17" t="s">
        <v>450</v>
      </c>
      <c r="D249" s="18">
        <v>1015042</v>
      </c>
      <c r="E249" s="18">
        <v>2</v>
      </c>
      <c r="F249" s="18"/>
      <c r="G249" s="18">
        <v>180</v>
      </c>
      <c r="H249" s="18" t="s">
        <v>65</v>
      </c>
      <c r="I249" s="18"/>
      <c r="J249" s="18" t="s">
        <v>66</v>
      </c>
      <c r="K249" s="18" t="b">
        <v>0</v>
      </c>
      <c r="L249" s="14">
        <v>2021</v>
      </c>
      <c r="M249" s="15">
        <v>31022</v>
      </c>
      <c r="N249" s="19">
        <v>41453</v>
      </c>
      <c r="O249" s="19">
        <v>41453</v>
      </c>
    </row>
    <row r="250" spans="1:15">
      <c r="A250" s="16">
        <v>2013</v>
      </c>
      <c r="B250" s="17" t="s">
        <v>449</v>
      </c>
      <c r="C250" s="17" t="s">
        <v>450</v>
      </c>
      <c r="D250" s="18">
        <v>1015042</v>
      </c>
      <c r="E250" s="18">
        <v>2</v>
      </c>
      <c r="F250" s="18"/>
      <c r="G250" s="18">
        <v>470</v>
      </c>
      <c r="H250" s="18">
        <v>9.3000000000000007</v>
      </c>
      <c r="I250" s="18" t="s">
        <v>453</v>
      </c>
      <c r="J250" s="18" t="s">
        <v>454</v>
      </c>
      <c r="K250" s="18" t="b">
        <v>1</v>
      </c>
      <c r="L250" s="14">
        <v>2020</v>
      </c>
      <c r="M250" s="15">
        <v>7.22E-2</v>
      </c>
      <c r="N250" s="19">
        <v>41453</v>
      </c>
      <c r="O250" s="19">
        <v>41453</v>
      </c>
    </row>
    <row r="251" spans="1:15">
      <c r="A251" s="16">
        <v>2013</v>
      </c>
      <c r="B251" s="17" t="s">
        <v>449</v>
      </c>
      <c r="C251" s="17" t="s">
        <v>450</v>
      </c>
      <c r="D251" s="18">
        <v>1015042</v>
      </c>
      <c r="E251" s="18">
        <v>2</v>
      </c>
      <c r="F251" s="18"/>
      <c r="G251" s="18">
        <v>80</v>
      </c>
      <c r="H251" s="18" t="s">
        <v>49</v>
      </c>
      <c r="I251" s="18"/>
      <c r="J251" s="18" t="s">
        <v>50</v>
      </c>
      <c r="K251" s="18" t="b">
        <v>1</v>
      </c>
      <c r="L251" s="14">
        <v>2015</v>
      </c>
      <c r="M251" s="15">
        <v>1109235</v>
      </c>
      <c r="N251" s="19">
        <v>41453</v>
      </c>
      <c r="O251" s="19">
        <v>41453</v>
      </c>
    </row>
    <row r="252" spans="1:15">
      <c r="A252" s="16">
        <v>2013</v>
      </c>
      <c r="B252" s="17" t="s">
        <v>449</v>
      </c>
      <c r="C252" s="17" t="s">
        <v>450</v>
      </c>
      <c r="D252" s="18">
        <v>1015042</v>
      </c>
      <c r="E252" s="18">
        <v>2</v>
      </c>
      <c r="F252" s="18"/>
      <c r="G252" s="18">
        <v>310</v>
      </c>
      <c r="H252" s="18">
        <v>5.0999999999999996</v>
      </c>
      <c r="I252" s="18"/>
      <c r="J252" s="18" t="s">
        <v>79</v>
      </c>
      <c r="K252" s="18" t="b">
        <v>1</v>
      </c>
      <c r="L252" s="14">
        <v>2015</v>
      </c>
      <c r="M252" s="15">
        <v>431751</v>
      </c>
      <c r="N252" s="19">
        <v>41453</v>
      </c>
      <c r="O252" s="19">
        <v>41453</v>
      </c>
    </row>
    <row r="253" spans="1:15">
      <c r="A253" s="16">
        <v>2013</v>
      </c>
      <c r="B253" s="17" t="s">
        <v>449</v>
      </c>
      <c r="C253" s="17" t="s">
        <v>450</v>
      </c>
      <c r="D253" s="18">
        <v>1015042</v>
      </c>
      <c r="E253" s="18">
        <v>2</v>
      </c>
      <c r="F253" s="18"/>
      <c r="G253" s="18">
        <v>10</v>
      </c>
      <c r="H253" s="18">
        <v>1</v>
      </c>
      <c r="I253" s="18" t="s">
        <v>457</v>
      </c>
      <c r="J253" s="18" t="s">
        <v>24</v>
      </c>
      <c r="K253" s="18" t="b">
        <v>1</v>
      </c>
      <c r="L253" s="14">
        <v>2016</v>
      </c>
      <c r="M253" s="15">
        <v>7918465</v>
      </c>
      <c r="N253" s="19">
        <v>41453</v>
      </c>
      <c r="O253" s="19">
        <v>41453</v>
      </c>
    </row>
    <row r="254" spans="1:15">
      <c r="A254" s="16">
        <v>2013</v>
      </c>
      <c r="B254" s="17" t="s">
        <v>449</v>
      </c>
      <c r="C254" s="17" t="s">
        <v>450</v>
      </c>
      <c r="D254" s="18">
        <v>1015042</v>
      </c>
      <c r="E254" s="18">
        <v>2</v>
      </c>
      <c r="F254" s="18"/>
      <c r="G254" s="18">
        <v>580</v>
      </c>
      <c r="H254" s="18">
        <v>11.1</v>
      </c>
      <c r="I254" s="18"/>
      <c r="J254" s="18" t="s">
        <v>109</v>
      </c>
      <c r="K254" s="18" t="b">
        <v>0</v>
      </c>
      <c r="L254" s="14">
        <v>2015</v>
      </c>
      <c r="M254" s="15">
        <v>3382000</v>
      </c>
      <c r="N254" s="19">
        <v>41453</v>
      </c>
      <c r="O254" s="19">
        <v>41453</v>
      </c>
    </row>
    <row r="255" spans="1:15">
      <c r="A255" s="16">
        <v>2013</v>
      </c>
      <c r="B255" s="17" t="s">
        <v>449</v>
      </c>
      <c r="C255" s="17" t="s">
        <v>450</v>
      </c>
      <c r="D255" s="18">
        <v>1015042</v>
      </c>
      <c r="E255" s="18">
        <v>2</v>
      </c>
      <c r="F255" s="18"/>
      <c r="G255" s="18">
        <v>760</v>
      </c>
      <c r="H255" s="18">
        <v>12.4</v>
      </c>
      <c r="I255" s="18"/>
      <c r="J255" s="18" t="s">
        <v>135</v>
      </c>
      <c r="K255" s="18" t="b">
        <v>1</v>
      </c>
      <c r="L255" s="14">
        <v>2013</v>
      </c>
      <c r="M255" s="15">
        <v>1334069</v>
      </c>
      <c r="N255" s="19">
        <v>41453</v>
      </c>
      <c r="O255" s="19">
        <v>41453</v>
      </c>
    </row>
    <row r="256" spans="1:15">
      <c r="A256" s="16">
        <v>2013</v>
      </c>
      <c r="B256" s="17" t="s">
        <v>449</v>
      </c>
      <c r="C256" s="17" t="s">
        <v>450</v>
      </c>
      <c r="D256" s="18">
        <v>1015042</v>
      </c>
      <c r="E256" s="18">
        <v>2</v>
      </c>
      <c r="F256" s="18"/>
      <c r="G256" s="18">
        <v>450</v>
      </c>
      <c r="H256" s="18">
        <v>9.1</v>
      </c>
      <c r="I256" s="18" t="s">
        <v>453</v>
      </c>
      <c r="J256" s="18" t="s">
        <v>93</v>
      </c>
      <c r="K256" s="18" t="b">
        <v>1</v>
      </c>
      <c r="L256" s="14">
        <v>2016</v>
      </c>
      <c r="M256" s="15">
        <v>6.83E-2</v>
      </c>
      <c r="N256" s="19">
        <v>41453</v>
      </c>
      <c r="O256" s="19">
        <v>41453</v>
      </c>
    </row>
    <row r="257" spans="1:15">
      <c r="A257" s="16">
        <v>2013</v>
      </c>
      <c r="B257" s="17" t="s">
        <v>449</v>
      </c>
      <c r="C257" s="17" t="s">
        <v>450</v>
      </c>
      <c r="D257" s="18">
        <v>1015042</v>
      </c>
      <c r="E257" s="18">
        <v>2</v>
      </c>
      <c r="F257" s="18"/>
      <c r="G257" s="18">
        <v>420</v>
      </c>
      <c r="H257" s="18">
        <v>8.1</v>
      </c>
      <c r="I257" s="18" t="s">
        <v>461</v>
      </c>
      <c r="J257" s="18" t="s">
        <v>91</v>
      </c>
      <c r="K257" s="18" t="b">
        <v>0</v>
      </c>
      <c r="L257" s="14">
        <v>2016</v>
      </c>
      <c r="M257" s="15">
        <v>700072</v>
      </c>
      <c r="N257" s="19">
        <v>41453</v>
      </c>
      <c r="O257" s="19">
        <v>41453</v>
      </c>
    </row>
    <row r="258" spans="1:15">
      <c r="A258" s="16">
        <v>2013</v>
      </c>
      <c r="B258" s="17" t="s">
        <v>449</v>
      </c>
      <c r="C258" s="17" t="s">
        <v>450</v>
      </c>
      <c r="D258" s="18">
        <v>1015042</v>
      </c>
      <c r="E258" s="18">
        <v>2</v>
      </c>
      <c r="F258" s="18"/>
      <c r="G258" s="18">
        <v>420</v>
      </c>
      <c r="H258" s="18">
        <v>8.1</v>
      </c>
      <c r="I258" s="18" t="s">
        <v>461</v>
      </c>
      <c r="J258" s="18" t="s">
        <v>91</v>
      </c>
      <c r="K258" s="18" t="b">
        <v>0</v>
      </c>
      <c r="L258" s="14">
        <v>2017</v>
      </c>
      <c r="M258" s="15">
        <v>708917</v>
      </c>
      <c r="N258" s="19">
        <v>41453</v>
      </c>
      <c r="O258" s="19">
        <v>41453</v>
      </c>
    </row>
    <row r="259" spans="1:15">
      <c r="A259" s="16">
        <v>2013</v>
      </c>
      <c r="B259" s="17" t="s">
        <v>449</v>
      </c>
      <c r="C259" s="17" t="s">
        <v>450</v>
      </c>
      <c r="D259" s="18">
        <v>1015042</v>
      </c>
      <c r="E259" s="18">
        <v>2</v>
      </c>
      <c r="F259" s="18"/>
      <c r="G259" s="18">
        <v>710</v>
      </c>
      <c r="H259" s="18" t="s">
        <v>126</v>
      </c>
      <c r="I259" s="18"/>
      <c r="J259" s="18" t="s">
        <v>127</v>
      </c>
      <c r="K259" s="18" t="b">
        <v>0</v>
      </c>
      <c r="L259" s="14">
        <v>2013</v>
      </c>
      <c r="M259" s="15">
        <v>779500</v>
      </c>
      <c r="N259" s="19">
        <v>41453</v>
      </c>
      <c r="O259" s="19">
        <v>41453</v>
      </c>
    </row>
    <row r="260" spans="1:15">
      <c r="A260" s="16">
        <v>2013</v>
      </c>
      <c r="B260" s="17" t="s">
        <v>449</v>
      </c>
      <c r="C260" s="17" t="s">
        <v>450</v>
      </c>
      <c r="D260" s="18">
        <v>1015042</v>
      </c>
      <c r="E260" s="18">
        <v>2</v>
      </c>
      <c r="F260" s="18"/>
      <c r="G260" s="18">
        <v>190</v>
      </c>
      <c r="H260" s="18">
        <v>2.2000000000000002</v>
      </c>
      <c r="I260" s="18"/>
      <c r="J260" s="18" t="s">
        <v>67</v>
      </c>
      <c r="K260" s="18" t="b">
        <v>0</v>
      </c>
      <c r="L260" s="14">
        <v>2015</v>
      </c>
      <c r="M260" s="15">
        <v>134068</v>
      </c>
      <c r="N260" s="19">
        <v>41453</v>
      </c>
      <c r="O260" s="19">
        <v>41453</v>
      </c>
    </row>
    <row r="261" spans="1:15">
      <c r="A261" s="16">
        <v>2013</v>
      </c>
      <c r="B261" s="17" t="s">
        <v>449</v>
      </c>
      <c r="C261" s="17" t="s">
        <v>450</v>
      </c>
      <c r="D261" s="18">
        <v>1015042</v>
      </c>
      <c r="E261" s="18">
        <v>2</v>
      </c>
      <c r="F261" s="18"/>
      <c r="G261" s="18">
        <v>190</v>
      </c>
      <c r="H261" s="18">
        <v>2.2000000000000002</v>
      </c>
      <c r="I261" s="18"/>
      <c r="J261" s="18" t="s">
        <v>67</v>
      </c>
      <c r="K261" s="18" t="b">
        <v>0</v>
      </c>
      <c r="L261" s="14">
        <v>2018</v>
      </c>
      <c r="M261" s="15">
        <v>220906</v>
      </c>
      <c r="N261" s="19">
        <v>41453</v>
      </c>
      <c r="O261" s="19">
        <v>41453</v>
      </c>
    </row>
    <row r="262" spans="1:15">
      <c r="A262" s="16">
        <v>2013</v>
      </c>
      <c r="B262" s="17" t="s">
        <v>449</v>
      </c>
      <c r="C262" s="17" t="s">
        <v>450</v>
      </c>
      <c r="D262" s="18">
        <v>1015042</v>
      </c>
      <c r="E262" s="18">
        <v>2</v>
      </c>
      <c r="F262" s="18"/>
      <c r="G262" s="18">
        <v>80</v>
      </c>
      <c r="H262" s="18" t="s">
        <v>49</v>
      </c>
      <c r="I262" s="18"/>
      <c r="J262" s="18" t="s">
        <v>50</v>
      </c>
      <c r="K262" s="18" t="b">
        <v>1</v>
      </c>
      <c r="L262" s="14">
        <v>2016</v>
      </c>
      <c r="M262" s="15">
        <v>1153605</v>
      </c>
      <c r="N262" s="19">
        <v>41453</v>
      </c>
      <c r="O262" s="19">
        <v>41453</v>
      </c>
    </row>
    <row r="263" spans="1:15">
      <c r="A263" s="16">
        <v>2013</v>
      </c>
      <c r="B263" s="17" t="s">
        <v>449</v>
      </c>
      <c r="C263" s="17" t="s">
        <v>450</v>
      </c>
      <c r="D263" s="18">
        <v>1015042</v>
      </c>
      <c r="E263" s="18">
        <v>2</v>
      </c>
      <c r="F263" s="18"/>
      <c r="G263" s="18">
        <v>170</v>
      </c>
      <c r="H263" s="18" t="s">
        <v>63</v>
      </c>
      <c r="I263" s="18"/>
      <c r="J263" s="18" t="s">
        <v>64</v>
      </c>
      <c r="K263" s="18" t="b">
        <v>1</v>
      </c>
      <c r="L263" s="14">
        <v>2021</v>
      </c>
      <c r="M263" s="15">
        <v>31022</v>
      </c>
      <c r="N263" s="19">
        <v>41453</v>
      </c>
      <c r="O263" s="19">
        <v>41453</v>
      </c>
    </row>
    <row r="264" spans="1:15">
      <c r="A264" s="16">
        <v>2013</v>
      </c>
      <c r="B264" s="17" t="s">
        <v>449</v>
      </c>
      <c r="C264" s="17" t="s">
        <v>450</v>
      </c>
      <c r="D264" s="18">
        <v>1015042</v>
      </c>
      <c r="E264" s="18">
        <v>2</v>
      </c>
      <c r="F264" s="18"/>
      <c r="G264" s="18">
        <v>450</v>
      </c>
      <c r="H264" s="18">
        <v>9.1</v>
      </c>
      <c r="I264" s="18" t="s">
        <v>453</v>
      </c>
      <c r="J264" s="18" t="s">
        <v>93</v>
      </c>
      <c r="K264" s="18" t="b">
        <v>1</v>
      </c>
      <c r="L264" s="14">
        <v>2017</v>
      </c>
      <c r="M264" s="15">
        <v>6.54E-2</v>
      </c>
      <c r="N264" s="19">
        <v>41453</v>
      </c>
      <c r="O264" s="19">
        <v>41453</v>
      </c>
    </row>
    <row r="265" spans="1:15">
      <c r="A265" s="16">
        <v>2013</v>
      </c>
      <c r="B265" s="17" t="s">
        <v>449</v>
      </c>
      <c r="C265" s="17" t="s">
        <v>450</v>
      </c>
      <c r="D265" s="18">
        <v>1015042</v>
      </c>
      <c r="E265" s="18">
        <v>2</v>
      </c>
      <c r="F265" s="18"/>
      <c r="G265" s="18">
        <v>350</v>
      </c>
      <c r="H265" s="18">
        <v>6</v>
      </c>
      <c r="I265" s="18"/>
      <c r="J265" s="18" t="s">
        <v>25</v>
      </c>
      <c r="K265" s="18" t="b">
        <v>1</v>
      </c>
      <c r="L265" s="14">
        <v>2021</v>
      </c>
      <c r="M265" s="15">
        <v>13948.43</v>
      </c>
      <c r="N265" s="19">
        <v>41453</v>
      </c>
      <c r="O265" s="19">
        <v>41453</v>
      </c>
    </row>
    <row r="266" spans="1:15">
      <c r="A266" s="16">
        <v>2013</v>
      </c>
      <c r="B266" s="17" t="s">
        <v>449</v>
      </c>
      <c r="C266" s="17" t="s">
        <v>450</v>
      </c>
      <c r="D266" s="18">
        <v>1015042</v>
      </c>
      <c r="E266" s="18">
        <v>2</v>
      </c>
      <c r="F266" s="18"/>
      <c r="G266" s="18">
        <v>70</v>
      </c>
      <c r="H266" s="18" t="s">
        <v>47</v>
      </c>
      <c r="I266" s="18"/>
      <c r="J266" s="18" t="s">
        <v>48</v>
      </c>
      <c r="K266" s="18" t="b">
        <v>1</v>
      </c>
      <c r="L266" s="14">
        <v>2015</v>
      </c>
      <c r="M266" s="15">
        <v>3107588</v>
      </c>
      <c r="N266" s="19">
        <v>41453</v>
      </c>
      <c r="O266" s="19">
        <v>41453</v>
      </c>
    </row>
    <row r="267" spans="1:15">
      <c r="A267" s="16">
        <v>2013</v>
      </c>
      <c r="B267" s="17" t="s">
        <v>449</v>
      </c>
      <c r="C267" s="17" t="s">
        <v>450</v>
      </c>
      <c r="D267" s="18">
        <v>1015042</v>
      </c>
      <c r="E267" s="18">
        <v>2</v>
      </c>
      <c r="F267" s="18"/>
      <c r="G267" s="18">
        <v>10</v>
      </c>
      <c r="H267" s="18">
        <v>1</v>
      </c>
      <c r="I267" s="18" t="s">
        <v>457</v>
      </c>
      <c r="J267" s="18" t="s">
        <v>24</v>
      </c>
      <c r="K267" s="18" t="b">
        <v>1</v>
      </c>
      <c r="L267" s="14">
        <v>2019</v>
      </c>
      <c r="M267" s="15">
        <v>8343446</v>
      </c>
      <c r="N267" s="19">
        <v>41453</v>
      </c>
      <c r="O267" s="19">
        <v>41453</v>
      </c>
    </row>
    <row r="268" spans="1:15">
      <c r="A268" s="16">
        <v>2013</v>
      </c>
      <c r="B268" s="17" t="s">
        <v>449</v>
      </c>
      <c r="C268" s="17" t="s">
        <v>450</v>
      </c>
      <c r="D268" s="18">
        <v>1015042</v>
      </c>
      <c r="E268" s="18">
        <v>2</v>
      </c>
      <c r="F268" s="18"/>
      <c r="G268" s="18">
        <v>510</v>
      </c>
      <c r="H268" s="18">
        <v>9.6999999999999993</v>
      </c>
      <c r="I268" s="18"/>
      <c r="J268" s="18" t="s">
        <v>467</v>
      </c>
      <c r="K268" s="18" t="b">
        <v>1</v>
      </c>
      <c r="L268" s="14">
        <v>2014</v>
      </c>
      <c r="M268" s="15">
        <v>8.2600000000000007E-2</v>
      </c>
      <c r="N268" s="19">
        <v>41453</v>
      </c>
      <c r="O268" s="19">
        <v>41453</v>
      </c>
    </row>
    <row r="269" spans="1:15">
      <c r="A269" s="16">
        <v>2013</v>
      </c>
      <c r="B269" s="17" t="s">
        <v>449</v>
      </c>
      <c r="C269" s="17" t="s">
        <v>450</v>
      </c>
      <c r="D269" s="18">
        <v>1015042</v>
      </c>
      <c r="E269" s="18">
        <v>2</v>
      </c>
      <c r="F269" s="18"/>
      <c r="G269" s="18">
        <v>350</v>
      </c>
      <c r="H269" s="18">
        <v>6</v>
      </c>
      <c r="I269" s="18"/>
      <c r="J269" s="18" t="s">
        <v>25</v>
      </c>
      <c r="K269" s="18" t="b">
        <v>1</v>
      </c>
      <c r="L269" s="14">
        <v>2018</v>
      </c>
      <c r="M269" s="15">
        <v>1603948.43</v>
      </c>
      <c r="N269" s="19">
        <v>41453</v>
      </c>
      <c r="O269" s="19">
        <v>41453</v>
      </c>
    </row>
    <row r="270" spans="1:15">
      <c r="A270" s="16">
        <v>2013</v>
      </c>
      <c r="B270" s="17" t="s">
        <v>449</v>
      </c>
      <c r="C270" s="17" t="s">
        <v>450</v>
      </c>
      <c r="D270" s="18">
        <v>1015042</v>
      </c>
      <c r="E270" s="18">
        <v>2</v>
      </c>
      <c r="F270" s="18"/>
      <c r="G270" s="18">
        <v>170</v>
      </c>
      <c r="H270" s="18" t="s">
        <v>63</v>
      </c>
      <c r="I270" s="18"/>
      <c r="J270" s="18" t="s">
        <v>64</v>
      </c>
      <c r="K270" s="18" t="b">
        <v>1</v>
      </c>
      <c r="L270" s="14">
        <v>2017</v>
      </c>
      <c r="M270" s="15">
        <v>130773</v>
      </c>
      <c r="N270" s="19">
        <v>41453</v>
      </c>
      <c r="O270" s="19">
        <v>41453</v>
      </c>
    </row>
    <row r="271" spans="1:15">
      <c r="A271" s="16">
        <v>2013</v>
      </c>
      <c r="B271" s="17" t="s">
        <v>449</v>
      </c>
      <c r="C271" s="17" t="s">
        <v>450</v>
      </c>
      <c r="D271" s="18">
        <v>1015042</v>
      </c>
      <c r="E271" s="18">
        <v>2</v>
      </c>
      <c r="F271" s="18"/>
      <c r="G271" s="18">
        <v>120</v>
      </c>
      <c r="H271" s="18">
        <v>2</v>
      </c>
      <c r="I271" s="18" t="s">
        <v>464</v>
      </c>
      <c r="J271" s="18" t="s">
        <v>19</v>
      </c>
      <c r="K271" s="18" t="b">
        <v>0</v>
      </c>
      <c r="L271" s="14">
        <v>2017</v>
      </c>
      <c r="M271" s="15">
        <v>7657165</v>
      </c>
      <c r="N271" s="19">
        <v>41453</v>
      </c>
      <c r="O271" s="19">
        <v>41453</v>
      </c>
    </row>
    <row r="272" spans="1:15">
      <c r="A272" s="16">
        <v>2013</v>
      </c>
      <c r="B272" s="17" t="s">
        <v>449</v>
      </c>
      <c r="C272" s="17" t="s">
        <v>450</v>
      </c>
      <c r="D272" s="18">
        <v>1015042</v>
      </c>
      <c r="E272" s="18">
        <v>2</v>
      </c>
      <c r="F272" s="18"/>
      <c r="G272" s="18">
        <v>500</v>
      </c>
      <c r="H272" s="18">
        <v>9.6</v>
      </c>
      <c r="I272" s="18" t="s">
        <v>465</v>
      </c>
      <c r="J272" s="18" t="s">
        <v>97</v>
      </c>
      <c r="K272" s="18" t="b">
        <v>0</v>
      </c>
      <c r="L272" s="14">
        <v>2016</v>
      </c>
      <c r="M272" s="15">
        <v>6.83E-2</v>
      </c>
      <c r="N272" s="19">
        <v>41453</v>
      </c>
      <c r="O272" s="19">
        <v>41453</v>
      </c>
    </row>
    <row r="273" spans="1:15">
      <c r="A273" s="16">
        <v>2013</v>
      </c>
      <c r="B273" s="17" t="s">
        <v>449</v>
      </c>
      <c r="C273" s="17" t="s">
        <v>450</v>
      </c>
      <c r="D273" s="18">
        <v>1015042</v>
      </c>
      <c r="E273" s="18">
        <v>2</v>
      </c>
      <c r="F273" s="18"/>
      <c r="G273" s="18">
        <v>390</v>
      </c>
      <c r="H273" s="18">
        <v>6.3</v>
      </c>
      <c r="I273" s="18" t="s">
        <v>459</v>
      </c>
      <c r="J273" s="18" t="s">
        <v>89</v>
      </c>
      <c r="K273" s="18" t="b">
        <v>0</v>
      </c>
      <c r="L273" s="14">
        <v>2014</v>
      </c>
      <c r="M273" s="15">
        <v>0.43330000000000002</v>
      </c>
      <c r="N273" s="19">
        <v>41453</v>
      </c>
      <c r="O273" s="19">
        <v>41453</v>
      </c>
    </row>
    <row r="274" spans="1:15">
      <c r="A274" s="16">
        <v>2013</v>
      </c>
      <c r="B274" s="17" t="s">
        <v>449</v>
      </c>
      <c r="C274" s="17" t="s">
        <v>450</v>
      </c>
      <c r="D274" s="18">
        <v>1015042</v>
      </c>
      <c r="E274" s="18">
        <v>2</v>
      </c>
      <c r="F274" s="18"/>
      <c r="G274" s="18">
        <v>390</v>
      </c>
      <c r="H274" s="18">
        <v>6.3</v>
      </c>
      <c r="I274" s="18" t="s">
        <v>459</v>
      </c>
      <c r="J274" s="18" t="s">
        <v>89</v>
      </c>
      <c r="K274" s="18" t="b">
        <v>0</v>
      </c>
      <c r="L274" s="14">
        <v>2020</v>
      </c>
      <c r="M274" s="15">
        <v>5.9299999999999999E-2</v>
      </c>
      <c r="N274" s="19">
        <v>41453</v>
      </c>
      <c r="O274" s="19">
        <v>41453</v>
      </c>
    </row>
    <row r="275" spans="1:15">
      <c r="A275" s="16">
        <v>2013</v>
      </c>
      <c r="B275" s="17" t="s">
        <v>449</v>
      </c>
      <c r="C275" s="17" t="s">
        <v>450</v>
      </c>
      <c r="D275" s="18">
        <v>1015042</v>
      </c>
      <c r="E275" s="18">
        <v>2</v>
      </c>
      <c r="F275" s="18"/>
      <c r="G275" s="18">
        <v>200</v>
      </c>
      <c r="H275" s="18">
        <v>3</v>
      </c>
      <c r="I275" s="18" t="s">
        <v>451</v>
      </c>
      <c r="J275" s="18" t="s">
        <v>21</v>
      </c>
      <c r="K275" s="18" t="b">
        <v>0</v>
      </c>
      <c r="L275" s="14">
        <v>2020</v>
      </c>
      <c r="M275" s="15">
        <v>550000</v>
      </c>
      <c r="N275" s="19">
        <v>41453</v>
      </c>
      <c r="O275" s="19">
        <v>41453</v>
      </c>
    </row>
    <row r="276" spans="1:15">
      <c r="A276" s="16">
        <v>2013</v>
      </c>
      <c r="B276" s="17" t="s">
        <v>449</v>
      </c>
      <c r="C276" s="17" t="s">
        <v>450</v>
      </c>
      <c r="D276" s="18">
        <v>1015042</v>
      </c>
      <c r="E276" s="18">
        <v>2</v>
      </c>
      <c r="F276" s="18"/>
      <c r="G276" s="18">
        <v>350</v>
      </c>
      <c r="H276" s="18">
        <v>6</v>
      </c>
      <c r="I276" s="18"/>
      <c r="J276" s="18" t="s">
        <v>25</v>
      </c>
      <c r="K276" s="18" t="b">
        <v>1</v>
      </c>
      <c r="L276" s="14">
        <v>2017</v>
      </c>
      <c r="M276" s="15">
        <v>2103948.4300000002</v>
      </c>
      <c r="N276" s="19">
        <v>41453</v>
      </c>
      <c r="O276" s="19">
        <v>41453</v>
      </c>
    </row>
    <row r="277" spans="1:15">
      <c r="A277" s="16">
        <v>2013</v>
      </c>
      <c r="B277" s="17" t="s">
        <v>449</v>
      </c>
      <c r="C277" s="17" t="s">
        <v>450</v>
      </c>
      <c r="D277" s="18">
        <v>1015042</v>
      </c>
      <c r="E277" s="18">
        <v>2</v>
      </c>
      <c r="F277" s="18"/>
      <c r="G277" s="18">
        <v>550</v>
      </c>
      <c r="H277" s="18">
        <v>10</v>
      </c>
      <c r="I277" s="18"/>
      <c r="J277" s="18" t="s">
        <v>106</v>
      </c>
      <c r="K277" s="18" t="b">
        <v>0</v>
      </c>
      <c r="L277" s="14">
        <v>2018</v>
      </c>
      <c r="M277" s="15">
        <v>500000</v>
      </c>
      <c r="N277" s="19">
        <v>41453</v>
      </c>
      <c r="O277" s="19">
        <v>41453</v>
      </c>
    </row>
    <row r="278" spans="1:15">
      <c r="A278" s="16">
        <v>2013</v>
      </c>
      <c r="B278" s="17" t="s">
        <v>449</v>
      </c>
      <c r="C278" s="17" t="s">
        <v>450</v>
      </c>
      <c r="D278" s="18">
        <v>1015042</v>
      </c>
      <c r="E278" s="18">
        <v>2</v>
      </c>
      <c r="F278" s="18"/>
      <c r="G278" s="18">
        <v>470</v>
      </c>
      <c r="H278" s="18">
        <v>9.3000000000000007</v>
      </c>
      <c r="I278" s="18" t="s">
        <v>453</v>
      </c>
      <c r="J278" s="18" t="s">
        <v>454</v>
      </c>
      <c r="K278" s="18" t="b">
        <v>1</v>
      </c>
      <c r="L278" s="14">
        <v>2019</v>
      </c>
      <c r="M278" s="15">
        <v>7.7499999999999999E-2</v>
      </c>
      <c r="N278" s="19">
        <v>41453</v>
      </c>
      <c r="O278" s="19">
        <v>41453</v>
      </c>
    </row>
    <row r="279" spans="1:15">
      <c r="A279" s="16">
        <v>2013</v>
      </c>
      <c r="B279" s="17" t="s">
        <v>449</v>
      </c>
      <c r="C279" s="17" t="s">
        <v>450</v>
      </c>
      <c r="D279" s="18">
        <v>1015042</v>
      </c>
      <c r="E279" s="18">
        <v>2</v>
      </c>
      <c r="F279" s="18"/>
      <c r="G279" s="18">
        <v>40</v>
      </c>
      <c r="H279" s="18" t="s">
        <v>41</v>
      </c>
      <c r="I279" s="18"/>
      <c r="J279" s="18" t="s">
        <v>42</v>
      </c>
      <c r="K279" s="18" t="b">
        <v>1</v>
      </c>
      <c r="L279" s="14">
        <v>2014</v>
      </c>
      <c r="M279" s="15">
        <v>6180</v>
      </c>
      <c r="N279" s="19">
        <v>41453</v>
      </c>
      <c r="O279" s="19">
        <v>41453</v>
      </c>
    </row>
    <row r="280" spans="1:15">
      <c r="A280" s="16">
        <v>2013</v>
      </c>
      <c r="B280" s="17" t="s">
        <v>449</v>
      </c>
      <c r="C280" s="17" t="s">
        <v>450</v>
      </c>
      <c r="D280" s="18">
        <v>1015042</v>
      </c>
      <c r="E280" s="18">
        <v>2</v>
      </c>
      <c r="F280" s="18"/>
      <c r="G280" s="18">
        <v>580</v>
      </c>
      <c r="H280" s="18">
        <v>11.1</v>
      </c>
      <c r="I280" s="18"/>
      <c r="J280" s="18" t="s">
        <v>109</v>
      </c>
      <c r="K280" s="18" t="b">
        <v>0</v>
      </c>
      <c r="L280" s="14">
        <v>2016</v>
      </c>
      <c r="M280" s="15">
        <v>3449000</v>
      </c>
      <c r="N280" s="19">
        <v>41453</v>
      </c>
      <c r="O280" s="19">
        <v>41453</v>
      </c>
    </row>
    <row r="281" spans="1:15">
      <c r="A281" s="16">
        <v>2013</v>
      </c>
      <c r="B281" s="17" t="s">
        <v>449</v>
      </c>
      <c r="C281" s="17" t="s">
        <v>450</v>
      </c>
      <c r="D281" s="18">
        <v>1015042</v>
      </c>
      <c r="E281" s="18">
        <v>2</v>
      </c>
      <c r="F281" s="18"/>
      <c r="G281" s="18">
        <v>200</v>
      </c>
      <c r="H281" s="18">
        <v>3</v>
      </c>
      <c r="I281" s="18" t="s">
        <v>451</v>
      </c>
      <c r="J281" s="18" t="s">
        <v>21</v>
      </c>
      <c r="K281" s="18" t="b">
        <v>0</v>
      </c>
      <c r="L281" s="14">
        <v>2018</v>
      </c>
      <c r="M281" s="15">
        <v>500000</v>
      </c>
      <c r="N281" s="19">
        <v>41453</v>
      </c>
      <c r="O281" s="19">
        <v>41453</v>
      </c>
    </row>
    <row r="282" spans="1:15">
      <c r="A282" s="16">
        <v>2013</v>
      </c>
      <c r="B282" s="17" t="s">
        <v>449</v>
      </c>
      <c r="C282" s="17" t="s">
        <v>450</v>
      </c>
      <c r="D282" s="18">
        <v>1015042</v>
      </c>
      <c r="E282" s="18">
        <v>2</v>
      </c>
      <c r="F282" s="18"/>
      <c r="G282" s="18">
        <v>60</v>
      </c>
      <c r="H282" s="18" t="s">
        <v>45</v>
      </c>
      <c r="I282" s="18"/>
      <c r="J282" s="18" t="s">
        <v>46</v>
      </c>
      <c r="K282" s="18" t="b">
        <v>1</v>
      </c>
      <c r="L282" s="14">
        <v>2015</v>
      </c>
      <c r="M282" s="15">
        <v>1138872</v>
      </c>
      <c r="N282" s="19">
        <v>41453</v>
      </c>
      <c r="O282" s="19">
        <v>41453</v>
      </c>
    </row>
    <row r="283" spans="1:15">
      <c r="A283" s="16">
        <v>2013</v>
      </c>
      <c r="B283" s="17" t="s">
        <v>449</v>
      </c>
      <c r="C283" s="17" t="s">
        <v>450</v>
      </c>
      <c r="D283" s="18">
        <v>1015042</v>
      </c>
      <c r="E283" s="18">
        <v>2</v>
      </c>
      <c r="F283" s="18"/>
      <c r="G283" s="18">
        <v>520</v>
      </c>
      <c r="H283" s="18" t="s">
        <v>101</v>
      </c>
      <c r="I283" s="18"/>
      <c r="J283" s="18" t="s">
        <v>463</v>
      </c>
      <c r="K283" s="18" t="b">
        <v>1</v>
      </c>
      <c r="L283" s="14">
        <v>2019</v>
      </c>
      <c r="M283" s="15">
        <v>8.8099999999999998E-2</v>
      </c>
      <c r="N283" s="19">
        <v>41453</v>
      </c>
      <c r="O283" s="19">
        <v>41453</v>
      </c>
    </row>
    <row r="284" spans="1:15">
      <c r="A284" s="16">
        <v>2013</v>
      </c>
      <c r="B284" s="17" t="s">
        <v>449</v>
      </c>
      <c r="C284" s="17" t="s">
        <v>450</v>
      </c>
      <c r="D284" s="18">
        <v>1015042</v>
      </c>
      <c r="E284" s="18">
        <v>2</v>
      </c>
      <c r="F284" s="18"/>
      <c r="G284" s="18">
        <v>50</v>
      </c>
      <c r="H284" s="18" t="s">
        <v>43</v>
      </c>
      <c r="I284" s="18"/>
      <c r="J284" s="18" t="s">
        <v>44</v>
      </c>
      <c r="K284" s="18" t="b">
        <v>1</v>
      </c>
      <c r="L284" s="14">
        <v>2015</v>
      </c>
      <c r="M284" s="15">
        <v>2348555</v>
      </c>
      <c r="N284" s="19">
        <v>41453</v>
      </c>
      <c r="O284" s="19">
        <v>41453</v>
      </c>
    </row>
    <row r="285" spans="1:15">
      <c r="A285" s="16">
        <v>2013</v>
      </c>
      <c r="B285" s="17" t="s">
        <v>449</v>
      </c>
      <c r="C285" s="17" t="s">
        <v>450</v>
      </c>
      <c r="D285" s="18">
        <v>1015042</v>
      </c>
      <c r="E285" s="18">
        <v>2</v>
      </c>
      <c r="F285" s="18"/>
      <c r="G285" s="18">
        <v>120</v>
      </c>
      <c r="H285" s="18">
        <v>2</v>
      </c>
      <c r="I285" s="18" t="s">
        <v>464</v>
      </c>
      <c r="J285" s="18" t="s">
        <v>19</v>
      </c>
      <c r="K285" s="18" t="b">
        <v>0</v>
      </c>
      <c r="L285" s="14">
        <v>2020</v>
      </c>
      <c r="M285" s="15">
        <v>7949749</v>
      </c>
      <c r="N285" s="19">
        <v>41453</v>
      </c>
      <c r="O285" s="19">
        <v>41453</v>
      </c>
    </row>
    <row r="286" spans="1:15">
      <c r="A286" s="16">
        <v>2013</v>
      </c>
      <c r="B286" s="17" t="s">
        <v>449</v>
      </c>
      <c r="C286" s="17" t="s">
        <v>450</v>
      </c>
      <c r="D286" s="18">
        <v>1015042</v>
      </c>
      <c r="E286" s="18">
        <v>2</v>
      </c>
      <c r="F286" s="18"/>
      <c r="G286" s="18">
        <v>40</v>
      </c>
      <c r="H286" s="18" t="s">
        <v>41</v>
      </c>
      <c r="I286" s="18"/>
      <c r="J286" s="18" t="s">
        <v>42</v>
      </c>
      <c r="K286" s="18" t="b">
        <v>1</v>
      </c>
      <c r="L286" s="14">
        <v>2016</v>
      </c>
      <c r="M286" s="15">
        <v>6556</v>
      </c>
      <c r="N286" s="19">
        <v>41453</v>
      </c>
      <c r="O286" s="19">
        <v>41453</v>
      </c>
    </row>
    <row r="287" spans="1:15">
      <c r="A287" s="16">
        <v>2013</v>
      </c>
      <c r="B287" s="17" t="s">
        <v>449</v>
      </c>
      <c r="C287" s="17" t="s">
        <v>450</v>
      </c>
      <c r="D287" s="18">
        <v>1015042</v>
      </c>
      <c r="E287" s="18">
        <v>2</v>
      </c>
      <c r="F287" s="18"/>
      <c r="G287" s="18">
        <v>420</v>
      </c>
      <c r="H287" s="18">
        <v>8.1</v>
      </c>
      <c r="I287" s="18" t="s">
        <v>461</v>
      </c>
      <c r="J287" s="18" t="s">
        <v>91</v>
      </c>
      <c r="K287" s="18" t="b">
        <v>0</v>
      </c>
      <c r="L287" s="14">
        <v>2014</v>
      </c>
      <c r="M287" s="15">
        <v>722532</v>
      </c>
      <c r="N287" s="19">
        <v>41453</v>
      </c>
      <c r="O287" s="19">
        <v>41453</v>
      </c>
    </row>
    <row r="288" spans="1:15">
      <c r="A288" s="16">
        <v>2013</v>
      </c>
      <c r="B288" s="17" t="s">
        <v>449</v>
      </c>
      <c r="C288" s="17" t="s">
        <v>450</v>
      </c>
      <c r="D288" s="18">
        <v>1015042</v>
      </c>
      <c r="E288" s="18">
        <v>2</v>
      </c>
      <c r="F288" s="18"/>
      <c r="G288" s="18">
        <v>520</v>
      </c>
      <c r="H288" s="18" t="s">
        <v>101</v>
      </c>
      <c r="I288" s="18"/>
      <c r="J288" s="18" t="s">
        <v>463</v>
      </c>
      <c r="K288" s="18" t="b">
        <v>1</v>
      </c>
      <c r="L288" s="14">
        <v>2015</v>
      </c>
      <c r="M288" s="15">
        <v>9.6600000000000005E-2</v>
      </c>
      <c r="N288" s="19">
        <v>41453</v>
      </c>
      <c r="O288" s="19">
        <v>41453</v>
      </c>
    </row>
    <row r="289" spans="1:15">
      <c r="A289" s="16">
        <v>2013</v>
      </c>
      <c r="B289" s="17" t="s">
        <v>449</v>
      </c>
      <c r="C289" s="17" t="s">
        <v>450</v>
      </c>
      <c r="D289" s="18">
        <v>1015042</v>
      </c>
      <c r="E289" s="18">
        <v>2</v>
      </c>
      <c r="F289" s="18"/>
      <c r="G289" s="18">
        <v>510</v>
      </c>
      <c r="H289" s="18">
        <v>9.6999999999999993</v>
      </c>
      <c r="I289" s="18"/>
      <c r="J289" s="18" t="s">
        <v>467</v>
      </c>
      <c r="K289" s="18" t="b">
        <v>1</v>
      </c>
      <c r="L289" s="14">
        <v>2020</v>
      </c>
      <c r="M289" s="15">
        <v>8.8499999999999995E-2</v>
      </c>
      <c r="N289" s="19">
        <v>41453</v>
      </c>
      <c r="O289" s="19">
        <v>41453</v>
      </c>
    </row>
    <row r="290" spans="1:15">
      <c r="A290" s="16">
        <v>2013</v>
      </c>
      <c r="B290" s="17" t="s">
        <v>449</v>
      </c>
      <c r="C290" s="17" t="s">
        <v>450</v>
      </c>
      <c r="D290" s="18">
        <v>1015042</v>
      </c>
      <c r="E290" s="18">
        <v>2</v>
      </c>
      <c r="F290" s="18"/>
      <c r="G290" s="18">
        <v>350</v>
      </c>
      <c r="H290" s="18">
        <v>6</v>
      </c>
      <c r="I290" s="18"/>
      <c r="J290" s="18" t="s">
        <v>25</v>
      </c>
      <c r="K290" s="18" t="b">
        <v>1</v>
      </c>
      <c r="L290" s="14">
        <v>2014</v>
      </c>
      <c r="M290" s="15">
        <v>3318757.43</v>
      </c>
      <c r="N290" s="19">
        <v>41453</v>
      </c>
      <c r="O290" s="19">
        <v>41453</v>
      </c>
    </row>
    <row r="291" spans="1:15">
      <c r="A291" s="16">
        <v>2013</v>
      </c>
      <c r="B291" s="17" t="s">
        <v>449</v>
      </c>
      <c r="C291" s="17" t="s">
        <v>450</v>
      </c>
      <c r="D291" s="18">
        <v>1015042</v>
      </c>
      <c r="E291" s="18">
        <v>2</v>
      </c>
      <c r="F291" s="18"/>
      <c r="G291" s="18">
        <v>200</v>
      </c>
      <c r="H291" s="18">
        <v>3</v>
      </c>
      <c r="I291" s="18" t="s">
        <v>451</v>
      </c>
      <c r="J291" s="18" t="s">
        <v>21</v>
      </c>
      <c r="K291" s="18" t="b">
        <v>0</v>
      </c>
      <c r="L291" s="14">
        <v>2019</v>
      </c>
      <c r="M291" s="15">
        <v>550000</v>
      </c>
      <c r="N291" s="19">
        <v>41453</v>
      </c>
      <c r="O291" s="19">
        <v>41453</v>
      </c>
    </row>
    <row r="292" spans="1:15">
      <c r="A292" s="16">
        <v>2013</v>
      </c>
      <c r="B292" s="17" t="s">
        <v>449</v>
      </c>
      <c r="C292" s="17" t="s">
        <v>450</v>
      </c>
      <c r="D292" s="18">
        <v>1015042</v>
      </c>
      <c r="E292" s="18">
        <v>2</v>
      </c>
      <c r="F292" s="18"/>
      <c r="G292" s="18">
        <v>500</v>
      </c>
      <c r="H292" s="18">
        <v>9.6</v>
      </c>
      <c r="I292" s="18" t="s">
        <v>465</v>
      </c>
      <c r="J292" s="18" t="s">
        <v>97</v>
      </c>
      <c r="K292" s="18" t="b">
        <v>0</v>
      </c>
      <c r="L292" s="14">
        <v>2021</v>
      </c>
      <c r="M292" s="15">
        <v>6.0100000000000001E-2</v>
      </c>
      <c r="N292" s="19">
        <v>41453</v>
      </c>
      <c r="O292" s="19">
        <v>41453</v>
      </c>
    </row>
    <row r="293" spans="1:15">
      <c r="A293" s="16">
        <v>2013</v>
      </c>
      <c r="B293" s="17" t="s">
        <v>449</v>
      </c>
      <c r="C293" s="17" t="s">
        <v>450</v>
      </c>
      <c r="D293" s="18">
        <v>1015042</v>
      </c>
      <c r="E293" s="18">
        <v>2</v>
      </c>
      <c r="F293" s="18"/>
      <c r="G293" s="18">
        <v>430</v>
      </c>
      <c r="H293" s="18">
        <v>8.1999999999999993</v>
      </c>
      <c r="I293" s="18" t="s">
        <v>462</v>
      </c>
      <c r="J293" s="18" t="s">
        <v>92</v>
      </c>
      <c r="K293" s="18" t="b">
        <v>0</v>
      </c>
      <c r="L293" s="14">
        <v>2015</v>
      </c>
      <c r="M293" s="15">
        <v>565819</v>
      </c>
      <c r="N293" s="19">
        <v>41453</v>
      </c>
      <c r="O293" s="19">
        <v>41453</v>
      </c>
    </row>
    <row r="294" spans="1:15">
      <c r="A294" s="16">
        <v>2013</v>
      </c>
      <c r="B294" s="17" t="s">
        <v>449</v>
      </c>
      <c r="C294" s="17" t="s">
        <v>450</v>
      </c>
      <c r="D294" s="18">
        <v>1015042</v>
      </c>
      <c r="E294" s="18">
        <v>2</v>
      </c>
      <c r="F294" s="18"/>
      <c r="G294" s="18">
        <v>600</v>
      </c>
      <c r="H294" s="18">
        <v>11.3</v>
      </c>
      <c r="I294" s="18" t="s">
        <v>469</v>
      </c>
      <c r="J294" s="18" t="s">
        <v>111</v>
      </c>
      <c r="K294" s="18" t="b">
        <v>1</v>
      </c>
      <c r="L294" s="14">
        <v>2013</v>
      </c>
      <c r="M294" s="15">
        <v>2653373</v>
      </c>
      <c r="N294" s="19">
        <v>41453</v>
      </c>
      <c r="O294" s="19">
        <v>41453</v>
      </c>
    </row>
    <row r="295" spans="1:15">
      <c r="A295" s="16">
        <v>2013</v>
      </c>
      <c r="B295" s="17" t="s">
        <v>449</v>
      </c>
      <c r="C295" s="17" t="s">
        <v>450</v>
      </c>
      <c r="D295" s="18">
        <v>1015042</v>
      </c>
      <c r="E295" s="18">
        <v>2</v>
      </c>
      <c r="F295" s="18"/>
      <c r="G295" s="18">
        <v>350</v>
      </c>
      <c r="H295" s="18">
        <v>6</v>
      </c>
      <c r="I295" s="18"/>
      <c r="J295" s="18" t="s">
        <v>25</v>
      </c>
      <c r="K295" s="18" t="b">
        <v>1</v>
      </c>
      <c r="L295" s="14">
        <v>2016</v>
      </c>
      <c r="M295" s="15">
        <v>2499801.4300000002</v>
      </c>
      <c r="N295" s="19">
        <v>41453</v>
      </c>
      <c r="O295" s="19">
        <v>41453</v>
      </c>
    </row>
    <row r="296" spans="1:15">
      <c r="A296" s="16">
        <v>2013</v>
      </c>
      <c r="B296" s="17" t="s">
        <v>449</v>
      </c>
      <c r="C296" s="17" t="s">
        <v>450</v>
      </c>
      <c r="D296" s="18">
        <v>1015042</v>
      </c>
      <c r="E296" s="18">
        <v>2</v>
      </c>
      <c r="F296" s="18"/>
      <c r="G296" s="18">
        <v>560</v>
      </c>
      <c r="H296" s="18">
        <v>10.1</v>
      </c>
      <c r="I296" s="18"/>
      <c r="J296" s="18" t="s">
        <v>107</v>
      </c>
      <c r="K296" s="18" t="b">
        <v>0</v>
      </c>
      <c r="L296" s="14">
        <v>2017</v>
      </c>
      <c r="M296" s="15">
        <v>395853</v>
      </c>
      <c r="N296" s="19">
        <v>41453</v>
      </c>
      <c r="O296" s="19">
        <v>41453</v>
      </c>
    </row>
    <row r="297" spans="1:15">
      <c r="A297" s="16">
        <v>2013</v>
      </c>
      <c r="B297" s="17" t="s">
        <v>449</v>
      </c>
      <c r="C297" s="17" t="s">
        <v>450</v>
      </c>
      <c r="D297" s="18">
        <v>1015042</v>
      </c>
      <c r="E297" s="18">
        <v>2</v>
      </c>
      <c r="F297" s="18"/>
      <c r="G297" s="18">
        <v>580</v>
      </c>
      <c r="H297" s="18">
        <v>11.1</v>
      </c>
      <c r="I297" s="18"/>
      <c r="J297" s="18" t="s">
        <v>109</v>
      </c>
      <c r="K297" s="18" t="b">
        <v>0</v>
      </c>
      <c r="L297" s="14">
        <v>2013</v>
      </c>
      <c r="M297" s="15">
        <v>3281005.32</v>
      </c>
      <c r="N297" s="19">
        <v>41453</v>
      </c>
      <c r="O297" s="19">
        <v>41453</v>
      </c>
    </row>
    <row r="298" spans="1:15">
      <c r="A298" s="16">
        <v>2013</v>
      </c>
      <c r="B298" s="17" t="s">
        <v>449</v>
      </c>
      <c r="C298" s="17" t="s">
        <v>450</v>
      </c>
      <c r="D298" s="18">
        <v>1015042</v>
      </c>
      <c r="E298" s="18">
        <v>2</v>
      </c>
      <c r="F298" s="18"/>
      <c r="G298" s="18">
        <v>70</v>
      </c>
      <c r="H298" s="18" t="s">
        <v>47</v>
      </c>
      <c r="I298" s="18"/>
      <c r="J298" s="18" t="s">
        <v>48</v>
      </c>
      <c r="K298" s="18" t="b">
        <v>1</v>
      </c>
      <c r="L298" s="14">
        <v>2013</v>
      </c>
      <c r="M298" s="15">
        <v>2873140</v>
      </c>
      <c r="N298" s="19">
        <v>41453</v>
      </c>
      <c r="O298" s="19">
        <v>41453</v>
      </c>
    </row>
    <row r="299" spans="1:15">
      <c r="A299" s="16">
        <v>2013</v>
      </c>
      <c r="B299" s="17" t="s">
        <v>449</v>
      </c>
      <c r="C299" s="17" t="s">
        <v>450</v>
      </c>
      <c r="D299" s="18">
        <v>1015042</v>
      </c>
      <c r="E299" s="18">
        <v>2</v>
      </c>
      <c r="F299" s="18"/>
      <c r="G299" s="18">
        <v>560</v>
      </c>
      <c r="H299" s="18">
        <v>10.1</v>
      </c>
      <c r="I299" s="18"/>
      <c r="J299" s="18" t="s">
        <v>107</v>
      </c>
      <c r="K299" s="18" t="b">
        <v>0</v>
      </c>
      <c r="L299" s="14">
        <v>2019</v>
      </c>
      <c r="M299" s="15">
        <v>550000</v>
      </c>
      <c r="N299" s="19">
        <v>41453</v>
      </c>
      <c r="O299" s="19">
        <v>41453</v>
      </c>
    </row>
    <row r="300" spans="1:15">
      <c r="A300" s="16">
        <v>2013</v>
      </c>
      <c r="B300" s="17" t="s">
        <v>449</v>
      </c>
      <c r="C300" s="17" t="s">
        <v>450</v>
      </c>
      <c r="D300" s="18">
        <v>1015042</v>
      </c>
      <c r="E300" s="18">
        <v>2</v>
      </c>
      <c r="F300" s="18"/>
      <c r="G300" s="18">
        <v>470</v>
      </c>
      <c r="H300" s="18">
        <v>9.3000000000000007</v>
      </c>
      <c r="I300" s="18" t="s">
        <v>453</v>
      </c>
      <c r="J300" s="18" t="s">
        <v>454</v>
      </c>
      <c r="K300" s="18" t="b">
        <v>1</v>
      </c>
      <c r="L300" s="14">
        <v>2018</v>
      </c>
      <c r="M300" s="15">
        <v>7.5300000000000006E-2</v>
      </c>
      <c r="N300" s="19">
        <v>41453</v>
      </c>
      <c r="O300" s="19">
        <v>41453</v>
      </c>
    </row>
    <row r="301" spans="1:15">
      <c r="A301" s="16">
        <v>2013</v>
      </c>
      <c r="B301" s="17" t="s">
        <v>449</v>
      </c>
      <c r="C301" s="17" t="s">
        <v>450</v>
      </c>
      <c r="D301" s="18">
        <v>1015042</v>
      </c>
      <c r="E301" s="18">
        <v>2</v>
      </c>
      <c r="F301" s="18"/>
      <c r="G301" s="18">
        <v>20</v>
      </c>
      <c r="H301" s="18">
        <v>1.1000000000000001</v>
      </c>
      <c r="I301" s="18"/>
      <c r="J301" s="18" t="s">
        <v>38</v>
      </c>
      <c r="K301" s="18" t="b">
        <v>1</v>
      </c>
      <c r="L301" s="14">
        <v>2015</v>
      </c>
      <c r="M301" s="15">
        <v>7690743</v>
      </c>
      <c r="N301" s="19">
        <v>41453</v>
      </c>
      <c r="O301" s="19">
        <v>41453</v>
      </c>
    </row>
    <row r="302" spans="1:15">
      <c r="A302" s="16">
        <v>2013</v>
      </c>
      <c r="B302" s="17" t="s">
        <v>449</v>
      </c>
      <c r="C302" s="17" t="s">
        <v>450</v>
      </c>
      <c r="D302" s="18">
        <v>1015042</v>
      </c>
      <c r="E302" s="18">
        <v>2</v>
      </c>
      <c r="F302" s="18"/>
      <c r="G302" s="18">
        <v>10</v>
      </c>
      <c r="H302" s="18">
        <v>1</v>
      </c>
      <c r="I302" s="18" t="s">
        <v>457</v>
      </c>
      <c r="J302" s="18" t="s">
        <v>24</v>
      </c>
      <c r="K302" s="18" t="b">
        <v>1</v>
      </c>
      <c r="L302" s="14">
        <v>2013</v>
      </c>
      <c r="M302" s="15">
        <v>8714844.0099999998</v>
      </c>
      <c r="N302" s="19">
        <v>41453</v>
      </c>
      <c r="O302" s="19">
        <v>41453</v>
      </c>
    </row>
    <row r="303" spans="1:15">
      <c r="A303" s="16">
        <v>2013</v>
      </c>
      <c r="B303" s="17" t="s">
        <v>449</v>
      </c>
      <c r="C303" s="17" t="s">
        <v>450</v>
      </c>
      <c r="D303" s="18">
        <v>1015042</v>
      </c>
      <c r="E303" s="18">
        <v>2</v>
      </c>
      <c r="F303" s="18"/>
      <c r="G303" s="18">
        <v>505</v>
      </c>
      <c r="H303" s="18" t="s">
        <v>98</v>
      </c>
      <c r="I303" s="18" t="s">
        <v>455</v>
      </c>
      <c r="J303" s="18" t="s">
        <v>99</v>
      </c>
      <c r="K303" s="18" t="b">
        <v>0</v>
      </c>
      <c r="L303" s="14">
        <v>2018</v>
      </c>
      <c r="M303" s="15">
        <v>8.7999999999999995E-2</v>
      </c>
      <c r="N303" s="19">
        <v>41453</v>
      </c>
      <c r="O303" s="19">
        <v>41453</v>
      </c>
    </row>
    <row r="304" spans="1:15">
      <c r="A304" s="16">
        <v>2013</v>
      </c>
      <c r="B304" s="17" t="s">
        <v>449</v>
      </c>
      <c r="C304" s="17" t="s">
        <v>450</v>
      </c>
      <c r="D304" s="18">
        <v>1015042</v>
      </c>
      <c r="E304" s="18">
        <v>2</v>
      </c>
      <c r="F304" s="18"/>
      <c r="G304" s="18">
        <v>540</v>
      </c>
      <c r="H304" s="18" t="s">
        <v>104</v>
      </c>
      <c r="I304" s="18" t="s">
        <v>452</v>
      </c>
      <c r="J304" s="18" t="s">
        <v>105</v>
      </c>
      <c r="K304" s="18" t="b">
        <v>0</v>
      </c>
      <c r="L304" s="14">
        <v>2013</v>
      </c>
      <c r="M304" s="15">
        <v>497</v>
      </c>
      <c r="N304" s="19">
        <v>41453</v>
      </c>
      <c r="O304" s="19">
        <v>41453</v>
      </c>
    </row>
    <row r="305" spans="1:15">
      <c r="A305" s="16">
        <v>2013</v>
      </c>
      <c r="B305" s="17" t="s">
        <v>449</v>
      </c>
      <c r="C305" s="17" t="s">
        <v>450</v>
      </c>
      <c r="D305" s="18">
        <v>1015042</v>
      </c>
      <c r="E305" s="18">
        <v>2</v>
      </c>
      <c r="F305" s="18"/>
      <c r="G305" s="18">
        <v>120</v>
      </c>
      <c r="H305" s="18">
        <v>2</v>
      </c>
      <c r="I305" s="18" t="s">
        <v>464</v>
      </c>
      <c r="J305" s="18" t="s">
        <v>19</v>
      </c>
      <c r="K305" s="18" t="b">
        <v>0</v>
      </c>
      <c r="L305" s="14">
        <v>2016</v>
      </c>
      <c r="M305" s="15">
        <v>7531260</v>
      </c>
      <c r="N305" s="19">
        <v>41453</v>
      </c>
      <c r="O305" s="19">
        <v>41453</v>
      </c>
    </row>
    <row r="306" spans="1:15">
      <c r="A306" s="16">
        <v>2013</v>
      </c>
      <c r="B306" s="17" t="s">
        <v>449</v>
      </c>
      <c r="C306" s="17" t="s">
        <v>450</v>
      </c>
      <c r="D306" s="18">
        <v>1015042</v>
      </c>
      <c r="E306" s="18">
        <v>2</v>
      </c>
      <c r="F306" s="18"/>
      <c r="G306" s="18">
        <v>20</v>
      </c>
      <c r="H306" s="18">
        <v>1.1000000000000001</v>
      </c>
      <c r="I306" s="18"/>
      <c r="J306" s="18" t="s">
        <v>38</v>
      </c>
      <c r="K306" s="18" t="b">
        <v>1</v>
      </c>
      <c r="L306" s="14">
        <v>2013</v>
      </c>
      <c r="M306" s="15">
        <v>7385532.0099999998</v>
      </c>
      <c r="N306" s="19">
        <v>41453</v>
      </c>
      <c r="O306" s="19">
        <v>41453</v>
      </c>
    </row>
    <row r="307" spans="1:15">
      <c r="A307" s="16">
        <v>2013</v>
      </c>
      <c r="B307" s="17" t="s">
        <v>449</v>
      </c>
      <c r="C307" s="17" t="s">
        <v>450</v>
      </c>
      <c r="D307" s="18">
        <v>1015042</v>
      </c>
      <c r="E307" s="18">
        <v>2</v>
      </c>
      <c r="F307" s="18"/>
      <c r="G307" s="18">
        <v>190</v>
      </c>
      <c r="H307" s="18">
        <v>2.2000000000000002</v>
      </c>
      <c r="I307" s="18"/>
      <c r="J307" s="18" t="s">
        <v>67</v>
      </c>
      <c r="K307" s="18" t="b">
        <v>0</v>
      </c>
      <c r="L307" s="14">
        <v>2016</v>
      </c>
      <c r="M307" s="15">
        <v>312867</v>
      </c>
      <c r="N307" s="19">
        <v>41453</v>
      </c>
      <c r="O307" s="19">
        <v>41453</v>
      </c>
    </row>
    <row r="308" spans="1:15">
      <c r="A308" s="16">
        <v>2013</v>
      </c>
      <c r="B308" s="17" t="s">
        <v>449</v>
      </c>
      <c r="C308" s="17" t="s">
        <v>450</v>
      </c>
      <c r="D308" s="18">
        <v>1015042</v>
      </c>
      <c r="E308" s="18">
        <v>2</v>
      </c>
      <c r="F308" s="18"/>
      <c r="G308" s="18">
        <v>310</v>
      </c>
      <c r="H308" s="18">
        <v>5.0999999999999996</v>
      </c>
      <c r="I308" s="18"/>
      <c r="J308" s="18" t="s">
        <v>79</v>
      </c>
      <c r="K308" s="18" t="b">
        <v>1</v>
      </c>
      <c r="L308" s="14">
        <v>2020</v>
      </c>
      <c r="M308" s="15">
        <v>550000</v>
      </c>
      <c r="N308" s="19">
        <v>41453</v>
      </c>
      <c r="O308" s="19">
        <v>41453</v>
      </c>
    </row>
    <row r="309" spans="1:15">
      <c r="A309" s="16">
        <v>2013</v>
      </c>
      <c r="B309" s="17" t="s">
        <v>449</v>
      </c>
      <c r="C309" s="17" t="s">
        <v>450</v>
      </c>
      <c r="D309" s="18">
        <v>1015042</v>
      </c>
      <c r="E309" s="18">
        <v>2</v>
      </c>
      <c r="F309" s="18"/>
      <c r="G309" s="18">
        <v>190</v>
      </c>
      <c r="H309" s="18">
        <v>2.2000000000000002</v>
      </c>
      <c r="I309" s="18"/>
      <c r="J309" s="18" t="s">
        <v>67</v>
      </c>
      <c r="K309" s="18" t="b">
        <v>0</v>
      </c>
      <c r="L309" s="14">
        <v>2020</v>
      </c>
      <c r="M309" s="15">
        <v>227594</v>
      </c>
      <c r="N309" s="19">
        <v>41453</v>
      </c>
      <c r="O309" s="19">
        <v>41453</v>
      </c>
    </row>
    <row r="310" spans="1:15">
      <c r="A310" s="16">
        <v>2013</v>
      </c>
      <c r="B310" s="17" t="s">
        <v>449</v>
      </c>
      <c r="C310" s="17" t="s">
        <v>450</v>
      </c>
      <c r="D310" s="18">
        <v>1015042</v>
      </c>
      <c r="E310" s="18">
        <v>2</v>
      </c>
      <c r="F310" s="18"/>
      <c r="G310" s="18">
        <v>560</v>
      </c>
      <c r="H310" s="18">
        <v>10.1</v>
      </c>
      <c r="I310" s="18"/>
      <c r="J310" s="18" t="s">
        <v>107</v>
      </c>
      <c r="K310" s="18" t="b">
        <v>0</v>
      </c>
      <c r="L310" s="14">
        <v>2021</v>
      </c>
      <c r="M310" s="15">
        <v>490000</v>
      </c>
      <c r="N310" s="19">
        <v>41453</v>
      </c>
      <c r="O310" s="19">
        <v>41453</v>
      </c>
    </row>
    <row r="311" spans="1:15">
      <c r="A311" s="16">
        <v>2013</v>
      </c>
      <c r="B311" s="17" t="s">
        <v>449</v>
      </c>
      <c r="C311" s="17" t="s">
        <v>450</v>
      </c>
      <c r="D311" s="18">
        <v>1015042</v>
      </c>
      <c r="E311" s="18">
        <v>2</v>
      </c>
      <c r="F311" s="18"/>
      <c r="G311" s="18">
        <v>530</v>
      </c>
      <c r="H311" s="18">
        <v>9.8000000000000007</v>
      </c>
      <c r="I311" s="18" t="s">
        <v>456</v>
      </c>
      <c r="J311" s="18" t="s">
        <v>103</v>
      </c>
      <c r="K311" s="18" t="b">
        <v>0</v>
      </c>
      <c r="L311" s="14">
        <v>2018</v>
      </c>
      <c r="M311" s="15">
        <v>80</v>
      </c>
      <c r="N311" s="19">
        <v>41453</v>
      </c>
      <c r="O311" s="19">
        <v>41453</v>
      </c>
    </row>
    <row r="312" spans="1:15">
      <c r="A312" s="16">
        <v>2013</v>
      </c>
      <c r="B312" s="17" t="s">
        <v>449</v>
      </c>
      <c r="C312" s="17" t="s">
        <v>450</v>
      </c>
      <c r="D312" s="18">
        <v>1015042</v>
      </c>
      <c r="E312" s="18">
        <v>2</v>
      </c>
      <c r="F312" s="18"/>
      <c r="G312" s="18">
        <v>500</v>
      </c>
      <c r="H312" s="18">
        <v>9.6</v>
      </c>
      <c r="I312" s="18" t="s">
        <v>465</v>
      </c>
      <c r="J312" s="18" t="s">
        <v>97</v>
      </c>
      <c r="K312" s="18" t="b">
        <v>0</v>
      </c>
      <c r="L312" s="14">
        <v>2015</v>
      </c>
      <c r="M312" s="15">
        <v>8.2100000000000006E-2</v>
      </c>
      <c r="N312" s="19">
        <v>41453</v>
      </c>
      <c r="O312" s="19">
        <v>41453</v>
      </c>
    </row>
    <row r="313" spans="1:15">
      <c r="A313" s="16">
        <v>2013</v>
      </c>
      <c r="B313" s="17" t="s">
        <v>449</v>
      </c>
      <c r="C313" s="17" t="s">
        <v>450</v>
      </c>
      <c r="D313" s="18">
        <v>1015042</v>
      </c>
      <c r="E313" s="18">
        <v>2</v>
      </c>
      <c r="F313" s="18"/>
      <c r="G313" s="18">
        <v>210</v>
      </c>
      <c r="H313" s="18">
        <v>4</v>
      </c>
      <c r="I313" s="18" t="s">
        <v>468</v>
      </c>
      <c r="J313" s="18" t="s">
        <v>22</v>
      </c>
      <c r="K313" s="18" t="b">
        <v>0</v>
      </c>
      <c r="L313" s="14">
        <v>2013</v>
      </c>
      <c r="M313" s="15">
        <v>2693480</v>
      </c>
      <c r="N313" s="19">
        <v>41453</v>
      </c>
      <c r="O313" s="19">
        <v>41453</v>
      </c>
    </row>
    <row r="314" spans="1:15">
      <c r="A314" s="16">
        <v>2013</v>
      </c>
      <c r="B314" s="17" t="s">
        <v>449</v>
      </c>
      <c r="C314" s="17" t="s">
        <v>450</v>
      </c>
      <c r="D314" s="18">
        <v>1015042</v>
      </c>
      <c r="E314" s="18">
        <v>2</v>
      </c>
      <c r="F314" s="18"/>
      <c r="G314" s="18">
        <v>880</v>
      </c>
      <c r="H314" s="18">
        <v>14.1</v>
      </c>
      <c r="I314" s="18"/>
      <c r="J314" s="18" t="s">
        <v>149</v>
      </c>
      <c r="K314" s="18" t="b">
        <v>1</v>
      </c>
      <c r="L314" s="14">
        <v>2014</v>
      </c>
      <c r="M314" s="15">
        <v>316151</v>
      </c>
      <c r="N314" s="19">
        <v>41453</v>
      </c>
      <c r="O314" s="19">
        <v>41453</v>
      </c>
    </row>
    <row r="315" spans="1:15">
      <c r="A315" s="16">
        <v>2013</v>
      </c>
      <c r="B315" s="17" t="s">
        <v>449</v>
      </c>
      <c r="C315" s="17" t="s">
        <v>450</v>
      </c>
      <c r="D315" s="18">
        <v>1015042</v>
      </c>
      <c r="E315" s="18">
        <v>2</v>
      </c>
      <c r="F315" s="18"/>
      <c r="G315" s="18">
        <v>350</v>
      </c>
      <c r="H315" s="18">
        <v>6</v>
      </c>
      <c r="I315" s="18"/>
      <c r="J315" s="18" t="s">
        <v>25</v>
      </c>
      <c r="K315" s="18" t="b">
        <v>1</v>
      </c>
      <c r="L315" s="14">
        <v>2020</v>
      </c>
      <c r="M315" s="15">
        <v>503948.43</v>
      </c>
      <c r="N315" s="19">
        <v>41453</v>
      </c>
      <c r="O315" s="19">
        <v>41453</v>
      </c>
    </row>
    <row r="316" spans="1:15">
      <c r="A316" s="16">
        <v>2013</v>
      </c>
      <c r="B316" s="17" t="s">
        <v>449</v>
      </c>
      <c r="C316" s="17" t="s">
        <v>450</v>
      </c>
      <c r="D316" s="18">
        <v>1015042</v>
      </c>
      <c r="E316" s="18">
        <v>2</v>
      </c>
      <c r="F316" s="18"/>
      <c r="G316" s="18">
        <v>450</v>
      </c>
      <c r="H316" s="18">
        <v>9.1</v>
      </c>
      <c r="I316" s="18" t="s">
        <v>453</v>
      </c>
      <c r="J316" s="18" t="s">
        <v>93</v>
      </c>
      <c r="K316" s="18" t="b">
        <v>1</v>
      </c>
      <c r="L316" s="14">
        <v>2020</v>
      </c>
      <c r="M316" s="15">
        <v>7.22E-2</v>
      </c>
      <c r="N316" s="19">
        <v>41453</v>
      </c>
      <c r="O316" s="19">
        <v>41453</v>
      </c>
    </row>
    <row r="317" spans="1:15">
      <c r="A317" s="16">
        <v>2013</v>
      </c>
      <c r="B317" s="17" t="s">
        <v>449</v>
      </c>
      <c r="C317" s="17" t="s">
        <v>450</v>
      </c>
      <c r="D317" s="18">
        <v>1015042</v>
      </c>
      <c r="E317" s="18">
        <v>2</v>
      </c>
      <c r="F317" s="18"/>
      <c r="G317" s="18">
        <v>430</v>
      </c>
      <c r="H317" s="18">
        <v>8.1999999999999993</v>
      </c>
      <c r="I317" s="18" t="s">
        <v>462</v>
      </c>
      <c r="J317" s="18" t="s">
        <v>92</v>
      </c>
      <c r="K317" s="18" t="b">
        <v>0</v>
      </c>
      <c r="L317" s="14">
        <v>2013</v>
      </c>
      <c r="M317" s="15">
        <v>619606</v>
      </c>
      <c r="N317" s="19">
        <v>41453</v>
      </c>
      <c r="O317" s="19">
        <v>41453</v>
      </c>
    </row>
    <row r="318" spans="1:15">
      <c r="A318" s="16">
        <v>2013</v>
      </c>
      <c r="B318" s="17" t="s">
        <v>449</v>
      </c>
      <c r="C318" s="17" t="s">
        <v>450</v>
      </c>
      <c r="D318" s="18">
        <v>1015042</v>
      </c>
      <c r="E318" s="18">
        <v>2</v>
      </c>
      <c r="F318" s="18"/>
      <c r="G318" s="18">
        <v>480</v>
      </c>
      <c r="H318" s="18">
        <v>9.4</v>
      </c>
      <c r="I318" s="18" t="s">
        <v>458</v>
      </c>
      <c r="J318" s="18" t="s">
        <v>95</v>
      </c>
      <c r="K318" s="18" t="b">
        <v>0</v>
      </c>
      <c r="L318" s="14">
        <v>2015</v>
      </c>
      <c r="M318" s="15">
        <v>8.2100000000000006E-2</v>
      </c>
      <c r="N318" s="19">
        <v>41453</v>
      </c>
      <c r="O318" s="19">
        <v>41453</v>
      </c>
    </row>
    <row r="319" spans="1:15">
      <c r="A319" s="16">
        <v>2013</v>
      </c>
      <c r="B319" s="17" t="s">
        <v>449</v>
      </c>
      <c r="C319" s="17" t="s">
        <v>450</v>
      </c>
      <c r="D319" s="18">
        <v>1015042</v>
      </c>
      <c r="E319" s="18">
        <v>2</v>
      </c>
      <c r="F319" s="18"/>
      <c r="G319" s="18">
        <v>510</v>
      </c>
      <c r="H319" s="18">
        <v>9.6999999999999993</v>
      </c>
      <c r="I319" s="18"/>
      <c r="J319" s="18" t="s">
        <v>467</v>
      </c>
      <c r="K319" s="18" t="b">
        <v>1</v>
      </c>
      <c r="L319" s="14">
        <v>2013</v>
      </c>
      <c r="M319" s="15">
        <v>9.6000000000000002E-2</v>
      </c>
      <c r="N319" s="19">
        <v>41453</v>
      </c>
      <c r="O319" s="19">
        <v>41453</v>
      </c>
    </row>
    <row r="320" spans="1:15">
      <c r="A320" s="16">
        <v>2013</v>
      </c>
      <c r="B320" s="17" t="s">
        <v>449</v>
      </c>
      <c r="C320" s="17" t="s">
        <v>450</v>
      </c>
      <c r="D320" s="18">
        <v>1015042</v>
      </c>
      <c r="E320" s="18">
        <v>2</v>
      </c>
      <c r="F320" s="18"/>
      <c r="G320" s="18">
        <v>530</v>
      </c>
      <c r="H320" s="18">
        <v>9.8000000000000007</v>
      </c>
      <c r="I320" s="18" t="s">
        <v>456</v>
      </c>
      <c r="J320" s="18" t="s">
        <v>103</v>
      </c>
      <c r="K320" s="18" t="b">
        <v>0</v>
      </c>
      <c r="L320" s="14">
        <v>2016</v>
      </c>
      <c r="M320" s="15">
        <v>145</v>
      </c>
      <c r="N320" s="19">
        <v>41453</v>
      </c>
      <c r="O320" s="19">
        <v>41453</v>
      </c>
    </row>
    <row r="321" spans="1:15">
      <c r="A321" s="16">
        <v>2013</v>
      </c>
      <c r="B321" s="17" t="s">
        <v>449</v>
      </c>
      <c r="C321" s="17" t="s">
        <v>450</v>
      </c>
      <c r="D321" s="18">
        <v>1015042</v>
      </c>
      <c r="E321" s="18">
        <v>2</v>
      </c>
      <c r="F321" s="18"/>
      <c r="G321" s="18">
        <v>130</v>
      </c>
      <c r="H321" s="18">
        <v>2.1</v>
      </c>
      <c r="I321" s="18"/>
      <c r="J321" s="18" t="s">
        <v>56</v>
      </c>
      <c r="K321" s="18" t="b">
        <v>1</v>
      </c>
      <c r="L321" s="14">
        <v>2014</v>
      </c>
      <c r="M321" s="15">
        <v>6936103</v>
      </c>
      <c r="N321" s="19">
        <v>41453</v>
      </c>
      <c r="O321" s="19">
        <v>41453</v>
      </c>
    </row>
    <row r="322" spans="1:15">
      <c r="A322" s="16">
        <v>2013</v>
      </c>
      <c r="B322" s="17" t="s">
        <v>449</v>
      </c>
      <c r="C322" s="17" t="s">
        <v>450</v>
      </c>
      <c r="D322" s="18">
        <v>1015042</v>
      </c>
      <c r="E322" s="18">
        <v>2</v>
      </c>
      <c r="F322" s="18"/>
      <c r="G322" s="18">
        <v>505</v>
      </c>
      <c r="H322" s="18" t="s">
        <v>98</v>
      </c>
      <c r="I322" s="18" t="s">
        <v>455</v>
      </c>
      <c r="J322" s="18" t="s">
        <v>99</v>
      </c>
      <c r="K322" s="18" t="b">
        <v>0</v>
      </c>
      <c r="L322" s="14">
        <v>2022</v>
      </c>
      <c r="M322" s="15">
        <v>9.6500000000000002E-2</v>
      </c>
      <c r="N322" s="19">
        <v>41453</v>
      </c>
      <c r="O322" s="19">
        <v>41453</v>
      </c>
    </row>
    <row r="323" spans="1:15">
      <c r="A323" s="16">
        <v>2013</v>
      </c>
      <c r="B323" s="17" t="s">
        <v>449</v>
      </c>
      <c r="C323" s="17" t="s">
        <v>450</v>
      </c>
      <c r="D323" s="18">
        <v>1015042</v>
      </c>
      <c r="E323" s="18">
        <v>2</v>
      </c>
      <c r="F323" s="18"/>
      <c r="G323" s="18">
        <v>170</v>
      </c>
      <c r="H323" s="18" t="s">
        <v>63</v>
      </c>
      <c r="I323" s="18"/>
      <c r="J323" s="18" t="s">
        <v>64</v>
      </c>
      <c r="K323" s="18" t="b">
        <v>1</v>
      </c>
      <c r="L323" s="14">
        <v>2020</v>
      </c>
      <c r="M323" s="15">
        <v>64022</v>
      </c>
      <c r="N323" s="19">
        <v>41453</v>
      </c>
      <c r="O323" s="19">
        <v>41453</v>
      </c>
    </row>
    <row r="324" spans="1:15">
      <c r="A324" s="16">
        <v>2013</v>
      </c>
      <c r="B324" s="17" t="s">
        <v>449</v>
      </c>
      <c r="C324" s="17" t="s">
        <v>450</v>
      </c>
      <c r="D324" s="18">
        <v>1015042</v>
      </c>
      <c r="E324" s="18">
        <v>2</v>
      </c>
      <c r="F324" s="18"/>
      <c r="G324" s="18">
        <v>430</v>
      </c>
      <c r="H324" s="18">
        <v>8.1999999999999993</v>
      </c>
      <c r="I324" s="18" t="s">
        <v>462</v>
      </c>
      <c r="J324" s="18" t="s">
        <v>92</v>
      </c>
      <c r="K324" s="18" t="b">
        <v>0</v>
      </c>
      <c r="L324" s="14">
        <v>2017</v>
      </c>
      <c r="M324" s="15">
        <v>708917</v>
      </c>
      <c r="N324" s="19">
        <v>41453</v>
      </c>
      <c r="O324" s="19">
        <v>41453</v>
      </c>
    </row>
    <row r="325" spans="1:15">
      <c r="A325" s="16">
        <v>2013</v>
      </c>
      <c r="B325" s="17" t="s">
        <v>449</v>
      </c>
      <c r="C325" s="17" t="s">
        <v>450</v>
      </c>
      <c r="D325" s="18">
        <v>1015042</v>
      </c>
      <c r="E325" s="18">
        <v>2</v>
      </c>
      <c r="F325" s="18"/>
      <c r="G325" s="18">
        <v>60</v>
      </c>
      <c r="H325" s="18" t="s">
        <v>45</v>
      </c>
      <c r="I325" s="18"/>
      <c r="J325" s="18" t="s">
        <v>46</v>
      </c>
      <c r="K325" s="18" t="b">
        <v>1</v>
      </c>
      <c r="L325" s="14">
        <v>2014</v>
      </c>
      <c r="M325" s="15">
        <v>1097179</v>
      </c>
      <c r="N325" s="19">
        <v>41453</v>
      </c>
      <c r="O325" s="19">
        <v>41453</v>
      </c>
    </row>
    <row r="326" spans="1:15">
      <c r="A326" s="16">
        <v>2013</v>
      </c>
      <c r="B326" s="17" t="s">
        <v>449</v>
      </c>
      <c r="C326" s="17" t="s">
        <v>450</v>
      </c>
      <c r="D326" s="18">
        <v>1015042</v>
      </c>
      <c r="E326" s="18">
        <v>2</v>
      </c>
      <c r="F326" s="18"/>
      <c r="G326" s="18">
        <v>505</v>
      </c>
      <c r="H326" s="18" t="s">
        <v>98</v>
      </c>
      <c r="I326" s="18" t="s">
        <v>455</v>
      </c>
      <c r="J326" s="18" t="s">
        <v>99</v>
      </c>
      <c r="K326" s="18" t="b">
        <v>0</v>
      </c>
      <c r="L326" s="14">
        <v>2015</v>
      </c>
      <c r="M326" s="15">
        <v>7.3599999999999999E-2</v>
      </c>
      <c r="N326" s="19">
        <v>41453</v>
      </c>
      <c r="O326" s="19">
        <v>41453</v>
      </c>
    </row>
    <row r="327" spans="1:15">
      <c r="A327" s="16">
        <v>2013</v>
      </c>
      <c r="B327" s="17" t="s">
        <v>449</v>
      </c>
      <c r="C327" s="17" t="s">
        <v>450</v>
      </c>
      <c r="D327" s="18">
        <v>1015042</v>
      </c>
      <c r="E327" s="18">
        <v>2</v>
      </c>
      <c r="F327" s="18"/>
      <c r="G327" s="18">
        <v>600</v>
      </c>
      <c r="H327" s="18">
        <v>11.3</v>
      </c>
      <c r="I327" s="18" t="s">
        <v>469</v>
      </c>
      <c r="J327" s="18" t="s">
        <v>111</v>
      </c>
      <c r="K327" s="18" t="b">
        <v>1</v>
      </c>
      <c r="L327" s="14">
        <v>2014</v>
      </c>
      <c r="M327" s="15">
        <v>17400</v>
      </c>
      <c r="N327" s="19">
        <v>41453</v>
      </c>
      <c r="O327" s="19">
        <v>41453</v>
      </c>
    </row>
    <row r="328" spans="1:15">
      <c r="A328" s="16">
        <v>2013</v>
      </c>
      <c r="B328" s="17" t="s">
        <v>449</v>
      </c>
      <c r="C328" s="17" t="s">
        <v>450</v>
      </c>
      <c r="D328" s="18">
        <v>1015042</v>
      </c>
      <c r="E328" s="18">
        <v>2</v>
      </c>
      <c r="F328" s="18"/>
      <c r="G328" s="18">
        <v>510</v>
      </c>
      <c r="H328" s="18">
        <v>9.6999999999999993</v>
      </c>
      <c r="I328" s="18"/>
      <c r="J328" s="18" t="s">
        <v>467</v>
      </c>
      <c r="K328" s="18" t="b">
        <v>1</v>
      </c>
      <c r="L328" s="14">
        <v>2017</v>
      </c>
      <c r="M328" s="15">
        <v>8.5400000000000004E-2</v>
      </c>
      <c r="N328" s="19">
        <v>41453</v>
      </c>
      <c r="O328" s="19">
        <v>41453</v>
      </c>
    </row>
    <row r="329" spans="1:15">
      <c r="A329" s="16">
        <v>2013</v>
      </c>
      <c r="B329" s="17" t="s">
        <v>449</v>
      </c>
      <c r="C329" s="17" t="s">
        <v>450</v>
      </c>
      <c r="D329" s="18">
        <v>1015042</v>
      </c>
      <c r="E329" s="18">
        <v>2</v>
      </c>
      <c r="F329" s="18"/>
      <c r="G329" s="18">
        <v>540</v>
      </c>
      <c r="H329" s="18" t="s">
        <v>104</v>
      </c>
      <c r="I329" s="18" t="s">
        <v>452</v>
      </c>
      <c r="J329" s="18" t="s">
        <v>105</v>
      </c>
      <c r="K329" s="18" t="b">
        <v>0</v>
      </c>
      <c r="L329" s="14">
        <v>2019</v>
      </c>
      <c r="M329" s="15">
        <v>106</v>
      </c>
      <c r="N329" s="19">
        <v>41453</v>
      </c>
      <c r="O329" s="19">
        <v>41453</v>
      </c>
    </row>
    <row r="330" spans="1:15">
      <c r="A330" s="16">
        <v>2013</v>
      </c>
      <c r="B330" s="17" t="s">
        <v>449</v>
      </c>
      <c r="C330" s="17" t="s">
        <v>450</v>
      </c>
      <c r="D330" s="18">
        <v>1015042</v>
      </c>
      <c r="E330" s="18">
        <v>2</v>
      </c>
      <c r="F330" s="18"/>
      <c r="G330" s="18">
        <v>420</v>
      </c>
      <c r="H330" s="18">
        <v>8.1</v>
      </c>
      <c r="I330" s="18" t="s">
        <v>461</v>
      </c>
      <c r="J330" s="18" t="s">
        <v>91</v>
      </c>
      <c r="K330" s="18" t="b">
        <v>0</v>
      </c>
      <c r="L330" s="14">
        <v>2022</v>
      </c>
      <c r="M330" s="15">
        <v>853028</v>
      </c>
      <c r="N330" s="19">
        <v>41453</v>
      </c>
      <c r="O330" s="19">
        <v>41453</v>
      </c>
    </row>
    <row r="331" spans="1:15">
      <c r="A331" s="16">
        <v>2013</v>
      </c>
      <c r="B331" s="17" t="s">
        <v>449</v>
      </c>
      <c r="C331" s="17" t="s">
        <v>450</v>
      </c>
      <c r="D331" s="18">
        <v>1015042</v>
      </c>
      <c r="E331" s="18">
        <v>2</v>
      </c>
      <c r="F331" s="18"/>
      <c r="G331" s="18">
        <v>500</v>
      </c>
      <c r="H331" s="18">
        <v>9.6</v>
      </c>
      <c r="I331" s="18" t="s">
        <v>465</v>
      </c>
      <c r="J331" s="18" t="s">
        <v>97</v>
      </c>
      <c r="K331" s="18" t="b">
        <v>0</v>
      </c>
      <c r="L331" s="14">
        <v>2018</v>
      </c>
      <c r="M331" s="15">
        <v>7.5300000000000006E-2</v>
      </c>
      <c r="N331" s="19">
        <v>41453</v>
      </c>
      <c r="O331" s="19">
        <v>41453</v>
      </c>
    </row>
    <row r="332" spans="1:15">
      <c r="A332" s="16">
        <v>2013</v>
      </c>
      <c r="B332" s="17" t="s">
        <v>449</v>
      </c>
      <c r="C332" s="17" t="s">
        <v>450</v>
      </c>
      <c r="D332" s="18">
        <v>1015042</v>
      </c>
      <c r="E332" s="18">
        <v>2</v>
      </c>
      <c r="F332" s="18"/>
      <c r="G332" s="18">
        <v>590</v>
      </c>
      <c r="H332" s="18">
        <v>11.2</v>
      </c>
      <c r="I332" s="18"/>
      <c r="J332" s="18" t="s">
        <v>110</v>
      </c>
      <c r="K332" s="18" t="b">
        <v>1</v>
      </c>
      <c r="L332" s="14">
        <v>2013</v>
      </c>
      <c r="M332" s="15">
        <v>1128180</v>
      </c>
      <c r="N332" s="19">
        <v>41453</v>
      </c>
      <c r="O332" s="19">
        <v>41453</v>
      </c>
    </row>
    <row r="333" spans="1:15">
      <c r="A333" s="16">
        <v>2013</v>
      </c>
      <c r="B333" s="17" t="s">
        <v>449</v>
      </c>
      <c r="C333" s="17" t="s">
        <v>450</v>
      </c>
      <c r="D333" s="18">
        <v>1015042</v>
      </c>
      <c r="E333" s="18">
        <v>2</v>
      </c>
      <c r="F333" s="18"/>
      <c r="G333" s="18">
        <v>60</v>
      </c>
      <c r="H333" s="18" t="s">
        <v>45</v>
      </c>
      <c r="I333" s="18"/>
      <c r="J333" s="18" t="s">
        <v>46</v>
      </c>
      <c r="K333" s="18" t="b">
        <v>1</v>
      </c>
      <c r="L333" s="14">
        <v>2013</v>
      </c>
      <c r="M333" s="15">
        <v>1057013</v>
      </c>
      <c r="N333" s="19">
        <v>41453</v>
      </c>
      <c r="O333" s="19">
        <v>41453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>
      <selection activeCell="R4" sqref="R4:R98"/>
    </sheetView>
  </sheetViews>
  <sheetFormatPr defaultRowHeight="14.25"/>
  <cols>
    <col min="1" max="1" width="9" style="21"/>
    <col min="2" max="2" width="12.5" style="21" customWidth="1"/>
    <col min="3" max="3" width="19.75" style="21" customWidth="1"/>
    <col min="4" max="6" width="9" style="21"/>
    <col min="7" max="7" width="6.25" style="21" customWidth="1"/>
    <col min="8" max="8" width="6.875" style="21" customWidth="1"/>
    <col min="9" max="9" width="11.25" style="21" customWidth="1"/>
    <col min="10" max="10" width="13.5" style="21" bestFit="1" customWidth="1"/>
    <col min="11" max="12" width="9" style="21"/>
    <col min="13" max="16" width="16.875" style="21" customWidth="1"/>
    <col min="17" max="16384" width="9" style="21"/>
  </cols>
  <sheetData>
    <row r="1" spans="1:18" ht="15">
      <c r="A1" s="3" t="s">
        <v>23</v>
      </c>
      <c r="L1" s="6" t="s">
        <v>26</v>
      </c>
      <c r="M1" s="20">
        <f>MIN(L:L)</f>
        <v>2013</v>
      </c>
      <c r="N1" s="20"/>
      <c r="O1" s="20"/>
      <c r="P1" s="20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206</v>
      </c>
      <c r="N3" s="5" t="s">
        <v>207</v>
      </c>
      <c r="O3" s="5" t="s">
        <v>209</v>
      </c>
      <c r="P3" s="5" t="s">
        <v>208</v>
      </c>
      <c r="Q3" s="5" t="s">
        <v>17</v>
      </c>
      <c r="R3" s="5" t="s">
        <v>18</v>
      </c>
    </row>
    <row r="4" spans="1:18">
      <c r="A4" s="16">
        <v>2013</v>
      </c>
      <c r="B4" s="17" t="s">
        <v>449</v>
      </c>
      <c r="C4" s="17" t="s">
        <v>450</v>
      </c>
      <c r="D4" s="18">
        <v>1015042</v>
      </c>
      <c r="E4" s="18">
        <v>2</v>
      </c>
      <c r="F4" s="18"/>
      <c r="G4" s="18">
        <v>320</v>
      </c>
      <c r="H4" s="18" t="s">
        <v>80</v>
      </c>
      <c r="I4" s="18"/>
      <c r="J4" s="18" t="s">
        <v>470</v>
      </c>
      <c r="K4" s="18" t="b">
        <v>1</v>
      </c>
      <c r="L4" s="14">
        <v>2013</v>
      </c>
      <c r="M4" s="15">
        <v>0</v>
      </c>
      <c r="N4" s="15">
        <v>911698</v>
      </c>
      <c r="O4" s="15">
        <v>304294</v>
      </c>
      <c r="P4" s="15">
        <v>304294</v>
      </c>
      <c r="Q4" s="19">
        <v>41453</v>
      </c>
      <c r="R4" s="19">
        <v>41453</v>
      </c>
    </row>
    <row r="5" spans="1:18">
      <c r="A5" s="16">
        <v>2013</v>
      </c>
      <c r="B5" s="17" t="s">
        <v>449</v>
      </c>
      <c r="C5" s="17" t="s">
        <v>450</v>
      </c>
      <c r="D5" s="18">
        <v>1015042</v>
      </c>
      <c r="E5" s="18">
        <v>2</v>
      </c>
      <c r="F5" s="18"/>
      <c r="G5" s="18">
        <v>740</v>
      </c>
      <c r="H5" s="18" t="s">
        <v>131</v>
      </c>
      <c r="I5" s="18"/>
      <c r="J5" s="18" t="s">
        <v>132</v>
      </c>
      <c r="K5" s="18" t="b">
        <v>0</v>
      </c>
      <c r="L5" s="14">
        <v>2013</v>
      </c>
      <c r="M5" s="15">
        <v>204259.8</v>
      </c>
      <c r="N5" s="15">
        <v>183596.95</v>
      </c>
      <c r="O5" s="15">
        <v>17085</v>
      </c>
      <c r="P5" s="15">
        <v>17085</v>
      </c>
      <c r="Q5" s="19">
        <v>41453</v>
      </c>
      <c r="R5" s="19">
        <v>41453</v>
      </c>
    </row>
    <row r="6" spans="1:18">
      <c r="A6" s="16">
        <v>2013</v>
      </c>
      <c r="B6" s="17" t="s">
        <v>449</v>
      </c>
      <c r="C6" s="17" t="s">
        <v>450</v>
      </c>
      <c r="D6" s="18">
        <v>1015042</v>
      </c>
      <c r="E6" s="18">
        <v>2</v>
      </c>
      <c r="F6" s="18"/>
      <c r="G6" s="18">
        <v>110</v>
      </c>
      <c r="H6" s="18" t="s">
        <v>54</v>
      </c>
      <c r="I6" s="18"/>
      <c r="J6" s="18" t="s">
        <v>55</v>
      </c>
      <c r="K6" s="18" t="b">
        <v>1</v>
      </c>
      <c r="L6" s="14">
        <v>2013</v>
      </c>
      <c r="M6" s="15">
        <v>273162.25</v>
      </c>
      <c r="N6" s="15">
        <v>1846553.3</v>
      </c>
      <c r="O6" s="15">
        <v>2058979.26</v>
      </c>
      <c r="P6" s="15">
        <v>2058825.67</v>
      </c>
      <c r="Q6" s="19">
        <v>41453</v>
      </c>
      <c r="R6" s="19">
        <v>41453</v>
      </c>
    </row>
    <row r="7" spans="1:18">
      <c r="A7" s="16">
        <v>2013</v>
      </c>
      <c r="B7" s="17" t="s">
        <v>449</v>
      </c>
      <c r="C7" s="17" t="s">
        <v>450</v>
      </c>
      <c r="D7" s="18">
        <v>1015042</v>
      </c>
      <c r="E7" s="18">
        <v>2</v>
      </c>
      <c r="F7" s="18"/>
      <c r="G7" s="18">
        <v>220</v>
      </c>
      <c r="H7" s="18">
        <v>4.0999999999999996</v>
      </c>
      <c r="I7" s="18"/>
      <c r="J7" s="18" t="s">
        <v>68</v>
      </c>
      <c r="K7" s="18" t="b">
        <v>0</v>
      </c>
      <c r="L7" s="14">
        <v>2013</v>
      </c>
      <c r="M7" s="15">
        <v>1170514.6599999999</v>
      </c>
      <c r="N7" s="15">
        <v>0</v>
      </c>
      <c r="O7" s="15">
        <v>0</v>
      </c>
      <c r="P7" s="15">
        <v>0</v>
      </c>
      <c r="Q7" s="19">
        <v>41453</v>
      </c>
      <c r="R7" s="19">
        <v>41453</v>
      </c>
    </row>
    <row r="8" spans="1:18">
      <c r="A8" s="16">
        <v>2013</v>
      </c>
      <c r="B8" s="17" t="s">
        <v>449</v>
      </c>
      <c r="C8" s="17" t="s">
        <v>450</v>
      </c>
      <c r="D8" s="18">
        <v>1015042</v>
      </c>
      <c r="E8" s="18">
        <v>2</v>
      </c>
      <c r="F8" s="18"/>
      <c r="G8" s="18">
        <v>760</v>
      </c>
      <c r="H8" s="18">
        <v>12.4</v>
      </c>
      <c r="I8" s="18"/>
      <c r="J8" s="18" t="s">
        <v>135</v>
      </c>
      <c r="K8" s="18" t="b">
        <v>1</v>
      </c>
      <c r="L8" s="14">
        <v>2013</v>
      </c>
      <c r="M8" s="15">
        <v>1990592.3</v>
      </c>
      <c r="N8" s="15">
        <v>1719165.08</v>
      </c>
      <c r="O8" s="15">
        <v>1297957.95</v>
      </c>
      <c r="P8" s="15">
        <v>1208884.24</v>
      </c>
      <c r="Q8" s="19">
        <v>41453</v>
      </c>
      <c r="R8" s="19">
        <v>41453</v>
      </c>
    </row>
    <row r="9" spans="1:18">
      <c r="A9" s="16">
        <v>2013</v>
      </c>
      <c r="B9" s="17" t="s">
        <v>449</v>
      </c>
      <c r="C9" s="17" t="s">
        <v>450</v>
      </c>
      <c r="D9" s="18">
        <v>1015042</v>
      </c>
      <c r="E9" s="18">
        <v>2</v>
      </c>
      <c r="F9" s="18"/>
      <c r="G9" s="18">
        <v>750</v>
      </c>
      <c r="H9" s="18" t="s">
        <v>133</v>
      </c>
      <c r="I9" s="18"/>
      <c r="J9" s="18" t="s">
        <v>134</v>
      </c>
      <c r="K9" s="18" t="b">
        <v>0</v>
      </c>
      <c r="L9" s="14">
        <v>2013</v>
      </c>
      <c r="M9" s="15">
        <v>240301.64</v>
      </c>
      <c r="N9" s="15">
        <v>215996.41</v>
      </c>
      <c r="O9" s="15">
        <v>20100</v>
      </c>
      <c r="P9" s="15">
        <v>20100</v>
      </c>
      <c r="Q9" s="19">
        <v>41453</v>
      </c>
      <c r="R9" s="19">
        <v>41453</v>
      </c>
    </row>
    <row r="10" spans="1:18">
      <c r="A10" s="16">
        <v>2013</v>
      </c>
      <c r="B10" s="17" t="s">
        <v>449</v>
      </c>
      <c r="C10" s="17" t="s">
        <v>450</v>
      </c>
      <c r="D10" s="18">
        <v>1015042</v>
      </c>
      <c r="E10" s="18">
        <v>2</v>
      </c>
      <c r="F10" s="18"/>
      <c r="G10" s="18">
        <v>820</v>
      </c>
      <c r="H10" s="18">
        <v>13.3</v>
      </c>
      <c r="I10" s="18"/>
      <c r="J10" s="18" t="s">
        <v>143</v>
      </c>
      <c r="K10" s="18" t="b">
        <v>1</v>
      </c>
      <c r="L10" s="14">
        <v>2013</v>
      </c>
      <c r="M10" s="15">
        <v>0</v>
      </c>
      <c r="N10" s="15">
        <v>0</v>
      </c>
      <c r="O10" s="15">
        <v>0</v>
      </c>
      <c r="P10" s="15">
        <v>0</v>
      </c>
      <c r="Q10" s="19">
        <v>41453</v>
      </c>
      <c r="R10" s="19">
        <v>41453</v>
      </c>
    </row>
    <row r="11" spans="1:18">
      <c r="A11" s="16">
        <v>2013</v>
      </c>
      <c r="B11" s="17" t="s">
        <v>449</v>
      </c>
      <c r="C11" s="17" t="s">
        <v>450</v>
      </c>
      <c r="D11" s="18">
        <v>1015042</v>
      </c>
      <c r="E11" s="18">
        <v>2</v>
      </c>
      <c r="F11" s="18"/>
      <c r="G11" s="18">
        <v>560</v>
      </c>
      <c r="H11" s="18">
        <v>10.1</v>
      </c>
      <c r="I11" s="18"/>
      <c r="J11" s="18" t="s">
        <v>107</v>
      </c>
      <c r="K11" s="18" t="b">
        <v>0</v>
      </c>
      <c r="L11" s="14">
        <v>2013</v>
      </c>
      <c r="M11" s="15">
        <v>0</v>
      </c>
      <c r="N11" s="15">
        <v>0</v>
      </c>
      <c r="O11" s="15">
        <v>0</v>
      </c>
      <c r="P11" s="15">
        <v>0</v>
      </c>
      <c r="Q11" s="19">
        <v>41453</v>
      </c>
      <c r="R11" s="19">
        <v>41453</v>
      </c>
    </row>
    <row r="12" spans="1:18">
      <c r="A12" s="16">
        <v>2013</v>
      </c>
      <c r="B12" s="17" t="s">
        <v>449</v>
      </c>
      <c r="C12" s="17" t="s">
        <v>450</v>
      </c>
      <c r="D12" s="18">
        <v>1015042</v>
      </c>
      <c r="E12" s="18">
        <v>2</v>
      </c>
      <c r="F12" s="18"/>
      <c r="G12" s="18">
        <v>630</v>
      </c>
      <c r="H12" s="18">
        <v>11.4</v>
      </c>
      <c r="I12" s="18"/>
      <c r="J12" s="18" t="s">
        <v>116</v>
      </c>
      <c r="K12" s="18" t="b">
        <v>1</v>
      </c>
      <c r="L12" s="14">
        <v>2013</v>
      </c>
      <c r="M12" s="15">
        <v>2028131.27</v>
      </c>
      <c r="N12" s="15">
        <v>1640525.13</v>
      </c>
      <c r="O12" s="15">
        <v>1009864</v>
      </c>
      <c r="P12" s="15">
        <v>935901.85</v>
      </c>
      <c r="Q12" s="19">
        <v>41453</v>
      </c>
      <c r="R12" s="19">
        <v>41453</v>
      </c>
    </row>
    <row r="13" spans="1:18">
      <c r="A13" s="16">
        <v>2013</v>
      </c>
      <c r="B13" s="17" t="s">
        <v>449</v>
      </c>
      <c r="C13" s="17" t="s">
        <v>450</v>
      </c>
      <c r="D13" s="18">
        <v>1015042</v>
      </c>
      <c r="E13" s="18">
        <v>2</v>
      </c>
      <c r="F13" s="18"/>
      <c r="G13" s="18">
        <v>570</v>
      </c>
      <c r="H13" s="18">
        <v>11</v>
      </c>
      <c r="I13" s="18"/>
      <c r="J13" s="18" t="s">
        <v>108</v>
      </c>
      <c r="K13" s="18" t="b">
        <v>0</v>
      </c>
      <c r="L13" s="14">
        <v>2013</v>
      </c>
      <c r="M13" s="15">
        <v>0</v>
      </c>
      <c r="N13" s="15">
        <v>0</v>
      </c>
      <c r="O13" s="15">
        <v>0</v>
      </c>
      <c r="P13" s="15">
        <v>0</v>
      </c>
      <c r="Q13" s="19">
        <v>41453</v>
      </c>
      <c r="R13" s="19">
        <v>41453</v>
      </c>
    </row>
    <row r="14" spans="1:18">
      <c r="A14" s="16">
        <v>2013</v>
      </c>
      <c r="B14" s="17" t="s">
        <v>449</v>
      </c>
      <c r="C14" s="17" t="s">
        <v>450</v>
      </c>
      <c r="D14" s="18">
        <v>1015042</v>
      </c>
      <c r="E14" s="18">
        <v>2</v>
      </c>
      <c r="F14" s="18"/>
      <c r="G14" s="18">
        <v>50</v>
      </c>
      <c r="H14" s="18" t="s">
        <v>43</v>
      </c>
      <c r="I14" s="18"/>
      <c r="J14" s="18" t="s">
        <v>44</v>
      </c>
      <c r="K14" s="18" t="b">
        <v>1</v>
      </c>
      <c r="L14" s="14">
        <v>2013</v>
      </c>
      <c r="M14" s="15">
        <v>1409523.63</v>
      </c>
      <c r="N14" s="15">
        <v>1818324.96</v>
      </c>
      <c r="O14" s="15">
        <v>2222134</v>
      </c>
      <c r="P14" s="15">
        <v>1971446.08</v>
      </c>
      <c r="Q14" s="19">
        <v>41453</v>
      </c>
      <c r="R14" s="19">
        <v>41453</v>
      </c>
    </row>
    <row r="15" spans="1:18">
      <c r="A15" s="16">
        <v>2013</v>
      </c>
      <c r="B15" s="17" t="s">
        <v>449</v>
      </c>
      <c r="C15" s="17" t="s">
        <v>450</v>
      </c>
      <c r="D15" s="18">
        <v>1015042</v>
      </c>
      <c r="E15" s="18">
        <v>2</v>
      </c>
      <c r="F15" s="18"/>
      <c r="G15" s="18">
        <v>780</v>
      </c>
      <c r="H15" s="18" t="s">
        <v>138</v>
      </c>
      <c r="I15" s="18"/>
      <c r="J15" s="18" t="s">
        <v>139</v>
      </c>
      <c r="K15" s="18" t="b">
        <v>1</v>
      </c>
      <c r="L15" s="14">
        <v>2013</v>
      </c>
      <c r="M15" s="15">
        <v>1990592.3</v>
      </c>
      <c r="N15" s="15">
        <v>1719165.08</v>
      </c>
      <c r="O15" s="15">
        <v>1297957.95</v>
      </c>
      <c r="P15" s="15">
        <v>1208884.24</v>
      </c>
      <c r="Q15" s="19">
        <v>41453</v>
      </c>
      <c r="R15" s="19">
        <v>41453</v>
      </c>
    </row>
    <row r="16" spans="1:18">
      <c r="A16" s="16">
        <v>2013</v>
      </c>
      <c r="B16" s="17" t="s">
        <v>449</v>
      </c>
      <c r="C16" s="17" t="s">
        <v>450</v>
      </c>
      <c r="D16" s="18">
        <v>1015042</v>
      </c>
      <c r="E16" s="18">
        <v>2</v>
      </c>
      <c r="F16" s="18"/>
      <c r="G16" s="18">
        <v>10</v>
      </c>
      <c r="H16" s="18">
        <v>1</v>
      </c>
      <c r="I16" s="18" t="s">
        <v>457</v>
      </c>
      <c r="J16" s="18" t="s">
        <v>24</v>
      </c>
      <c r="K16" s="18" t="b">
        <v>1</v>
      </c>
      <c r="L16" s="14">
        <v>2013</v>
      </c>
      <c r="M16" s="15">
        <v>7329586.5999999996</v>
      </c>
      <c r="N16" s="15">
        <v>9675664.1099999994</v>
      </c>
      <c r="O16" s="15">
        <v>10278316.789999999</v>
      </c>
      <c r="P16" s="15">
        <v>10139497.07</v>
      </c>
      <c r="Q16" s="19">
        <v>41453</v>
      </c>
      <c r="R16" s="19">
        <v>41453</v>
      </c>
    </row>
    <row r="17" spans="1:18">
      <c r="A17" s="16">
        <v>2013</v>
      </c>
      <c r="B17" s="17" t="s">
        <v>449</v>
      </c>
      <c r="C17" s="17" t="s">
        <v>450</v>
      </c>
      <c r="D17" s="18">
        <v>1015042</v>
      </c>
      <c r="E17" s="18">
        <v>2</v>
      </c>
      <c r="F17" s="18"/>
      <c r="G17" s="18">
        <v>290</v>
      </c>
      <c r="H17" s="18" t="s">
        <v>77</v>
      </c>
      <c r="I17" s="18"/>
      <c r="J17" s="18" t="s">
        <v>73</v>
      </c>
      <c r="K17" s="18" t="b">
        <v>0</v>
      </c>
      <c r="L17" s="14">
        <v>2013</v>
      </c>
      <c r="M17" s="15">
        <v>0</v>
      </c>
      <c r="N17" s="15">
        <v>0</v>
      </c>
      <c r="O17" s="15">
        <v>0</v>
      </c>
      <c r="P17" s="15">
        <v>0</v>
      </c>
      <c r="Q17" s="19">
        <v>41453</v>
      </c>
      <c r="R17" s="19">
        <v>41453</v>
      </c>
    </row>
    <row r="18" spans="1:18">
      <c r="A18" s="16">
        <v>2013</v>
      </c>
      <c r="B18" s="17" t="s">
        <v>449</v>
      </c>
      <c r="C18" s="17" t="s">
        <v>450</v>
      </c>
      <c r="D18" s="18">
        <v>1015042</v>
      </c>
      <c r="E18" s="18">
        <v>2</v>
      </c>
      <c r="F18" s="18"/>
      <c r="G18" s="18">
        <v>270</v>
      </c>
      <c r="H18" s="18" t="s">
        <v>75</v>
      </c>
      <c r="I18" s="18"/>
      <c r="J18" s="18" t="s">
        <v>73</v>
      </c>
      <c r="K18" s="18" t="b">
        <v>1</v>
      </c>
      <c r="L18" s="14">
        <v>2013</v>
      </c>
      <c r="M18" s="15">
        <v>1575992</v>
      </c>
      <c r="N18" s="15">
        <v>1050000</v>
      </c>
      <c r="O18" s="15">
        <v>0</v>
      </c>
      <c r="P18" s="15">
        <v>0</v>
      </c>
      <c r="Q18" s="19">
        <v>41453</v>
      </c>
      <c r="R18" s="19">
        <v>41453</v>
      </c>
    </row>
    <row r="19" spans="1:18">
      <c r="A19" s="16">
        <v>2013</v>
      </c>
      <c r="B19" s="17" t="s">
        <v>449</v>
      </c>
      <c r="C19" s="17" t="s">
        <v>450</v>
      </c>
      <c r="D19" s="18">
        <v>1015042</v>
      </c>
      <c r="E19" s="18">
        <v>2</v>
      </c>
      <c r="F19" s="18"/>
      <c r="G19" s="18">
        <v>640</v>
      </c>
      <c r="H19" s="18">
        <v>11.5</v>
      </c>
      <c r="I19" s="18"/>
      <c r="J19" s="18" t="s">
        <v>117</v>
      </c>
      <c r="K19" s="18" t="b">
        <v>1</v>
      </c>
      <c r="L19" s="14">
        <v>2013</v>
      </c>
      <c r="M19" s="15">
        <v>1347879.36</v>
      </c>
      <c r="N19" s="15">
        <v>1914985.86</v>
      </c>
      <c r="O19" s="15">
        <v>1411651</v>
      </c>
      <c r="P19" s="15">
        <v>1186433.3700000001</v>
      </c>
      <c r="Q19" s="19">
        <v>41453</v>
      </c>
      <c r="R19" s="19">
        <v>41453</v>
      </c>
    </row>
    <row r="20" spans="1:18">
      <c r="A20" s="16">
        <v>2013</v>
      </c>
      <c r="B20" s="17" t="s">
        <v>449</v>
      </c>
      <c r="C20" s="17" t="s">
        <v>450</v>
      </c>
      <c r="D20" s="18">
        <v>1015042</v>
      </c>
      <c r="E20" s="18">
        <v>2</v>
      </c>
      <c r="F20" s="18"/>
      <c r="G20" s="18">
        <v>610</v>
      </c>
      <c r="H20" s="18" t="s">
        <v>112</v>
      </c>
      <c r="I20" s="18"/>
      <c r="J20" s="18" t="s">
        <v>113</v>
      </c>
      <c r="K20" s="18" t="b">
        <v>1</v>
      </c>
      <c r="L20" s="14">
        <v>2013</v>
      </c>
      <c r="M20" s="15">
        <v>0</v>
      </c>
      <c r="N20" s="15">
        <v>0</v>
      </c>
      <c r="O20" s="15">
        <v>0</v>
      </c>
      <c r="P20" s="15">
        <v>0</v>
      </c>
      <c r="Q20" s="19">
        <v>41453</v>
      </c>
      <c r="R20" s="19">
        <v>41453</v>
      </c>
    </row>
    <row r="21" spans="1:18">
      <c r="A21" s="16">
        <v>2013</v>
      </c>
      <c r="B21" s="17" t="s">
        <v>449</v>
      </c>
      <c r="C21" s="17" t="s">
        <v>450</v>
      </c>
      <c r="D21" s="18">
        <v>1015042</v>
      </c>
      <c r="E21" s="18">
        <v>2</v>
      </c>
      <c r="F21" s="18"/>
      <c r="G21" s="18">
        <v>360</v>
      </c>
      <c r="H21" s="18">
        <v>6.1</v>
      </c>
      <c r="I21" s="18"/>
      <c r="J21" s="18" t="s">
        <v>471</v>
      </c>
      <c r="K21" s="18" t="b">
        <v>1</v>
      </c>
      <c r="L21" s="14">
        <v>2013</v>
      </c>
      <c r="M21" s="15">
        <v>1215992</v>
      </c>
      <c r="N21" s="15">
        <v>304294</v>
      </c>
      <c r="O21" s="15">
        <v>0</v>
      </c>
      <c r="P21" s="15">
        <v>0</v>
      </c>
      <c r="Q21" s="19">
        <v>41453</v>
      </c>
      <c r="R21" s="19">
        <v>41453</v>
      </c>
    </row>
    <row r="22" spans="1:18">
      <c r="A22" s="16">
        <v>2013</v>
      </c>
      <c r="B22" s="17" t="s">
        <v>449</v>
      </c>
      <c r="C22" s="17" t="s">
        <v>450</v>
      </c>
      <c r="D22" s="18">
        <v>1015042</v>
      </c>
      <c r="E22" s="18">
        <v>2</v>
      </c>
      <c r="F22" s="18"/>
      <c r="G22" s="18">
        <v>160</v>
      </c>
      <c r="H22" s="18" t="s">
        <v>61</v>
      </c>
      <c r="I22" s="18"/>
      <c r="J22" s="18" t="s">
        <v>62</v>
      </c>
      <c r="K22" s="18" t="b">
        <v>1</v>
      </c>
      <c r="L22" s="14">
        <v>2013</v>
      </c>
      <c r="M22" s="15">
        <v>0</v>
      </c>
      <c r="N22" s="15">
        <v>0</v>
      </c>
      <c r="O22" s="15">
        <v>0</v>
      </c>
      <c r="P22" s="15">
        <v>0</v>
      </c>
      <c r="Q22" s="19">
        <v>41453</v>
      </c>
      <c r="R22" s="19">
        <v>41453</v>
      </c>
    </row>
    <row r="23" spans="1:18">
      <c r="A23" s="16">
        <v>2013</v>
      </c>
      <c r="B23" s="17" t="s">
        <v>449</v>
      </c>
      <c r="C23" s="17" t="s">
        <v>450</v>
      </c>
      <c r="D23" s="18">
        <v>1015042</v>
      </c>
      <c r="E23" s="18">
        <v>2</v>
      </c>
      <c r="F23" s="18"/>
      <c r="G23" s="18">
        <v>230</v>
      </c>
      <c r="H23" s="18" t="s">
        <v>69</v>
      </c>
      <c r="I23" s="18"/>
      <c r="J23" s="18" t="s">
        <v>70</v>
      </c>
      <c r="K23" s="18" t="b">
        <v>0</v>
      </c>
      <c r="L23" s="14">
        <v>2013</v>
      </c>
      <c r="M23" s="15">
        <v>661537.21</v>
      </c>
      <c r="N23" s="15">
        <v>0</v>
      </c>
      <c r="O23" s="15">
        <v>0</v>
      </c>
      <c r="P23" s="15">
        <v>0</v>
      </c>
      <c r="Q23" s="19">
        <v>41453</v>
      </c>
      <c r="R23" s="19">
        <v>41453</v>
      </c>
    </row>
    <row r="24" spans="1:18">
      <c r="A24" s="16">
        <v>2013</v>
      </c>
      <c r="B24" s="17" t="s">
        <v>449</v>
      </c>
      <c r="C24" s="17" t="s">
        <v>450</v>
      </c>
      <c r="D24" s="18">
        <v>1015042</v>
      </c>
      <c r="E24" s="18">
        <v>2</v>
      </c>
      <c r="F24" s="18"/>
      <c r="G24" s="18">
        <v>880</v>
      </c>
      <c r="H24" s="18">
        <v>14.1</v>
      </c>
      <c r="I24" s="18"/>
      <c r="J24" s="18" t="s">
        <v>149</v>
      </c>
      <c r="K24" s="18" t="b">
        <v>1</v>
      </c>
      <c r="L24" s="14">
        <v>2013</v>
      </c>
      <c r="M24" s="15">
        <v>38661.15</v>
      </c>
      <c r="N24" s="15">
        <v>1005325.64</v>
      </c>
      <c r="O24" s="15">
        <v>947094</v>
      </c>
      <c r="P24" s="15">
        <v>946446.93</v>
      </c>
      <c r="Q24" s="19">
        <v>41453</v>
      </c>
      <c r="R24" s="19">
        <v>41453</v>
      </c>
    </row>
    <row r="25" spans="1:18">
      <c r="A25" s="16">
        <v>2013</v>
      </c>
      <c r="B25" s="17" t="s">
        <v>449</v>
      </c>
      <c r="C25" s="17" t="s">
        <v>450</v>
      </c>
      <c r="D25" s="18">
        <v>1015042</v>
      </c>
      <c r="E25" s="18">
        <v>2</v>
      </c>
      <c r="F25" s="18"/>
      <c r="G25" s="18">
        <v>505</v>
      </c>
      <c r="H25" s="18" t="s">
        <v>98</v>
      </c>
      <c r="I25" s="18" t="s">
        <v>455</v>
      </c>
      <c r="J25" s="18" t="s">
        <v>99</v>
      </c>
      <c r="K25" s="18" t="b">
        <v>0</v>
      </c>
      <c r="L25" s="14">
        <v>2013</v>
      </c>
      <c r="M25" s="15">
        <v>0.1207</v>
      </c>
      <c r="N25" s="15">
        <v>6.3799999999999996E-2</v>
      </c>
      <c r="O25" s="15">
        <v>0.10349999999999999</v>
      </c>
      <c r="P25" s="15">
        <v>0.115</v>
      </c>
      <c r="Q25" s="19">
        <v>41453</v>
      </c>
      <c r="R25" s="19">
        <v>41453</v>
      </c>
    </row>
    <row r="26" spans="1:18">
      <c r="A26" s="16">
        <v>2013</v>
      </c>
      <c r="B26" s="17" t="s">
        <v>449</v>
      </c>
      <c r="C26" s="17" t="s">
        <v>450</v>
      </c>
      <c r="D26" s="18">
        <v>1015042</v>
      </c>
      <c r="E26" s="18">
        <v>2</v>
      </c>
      <c r="F26" s="18"/>
      <c r="G26" s="18">
        <v>490</v>
      </c>
      <c r="H26" s="18">
        <v>9.5</v>
      </c>
      <c r="I26" s="18"/>
      <c r="J26" s="18" t="s">
        <v>96</v>
      </c>
      <c r="K26" s="18" t="b">
        <v>1</v>
      </c>
      <c r="L26" s="14">
        <v>2013</v>
      </c>
      <c r="M26" s="15">
        <v>0</v>
      </c>
      <c r="N26" s="15">
        <v>0</v>
      </c>
      <c r="O26" s="15">
        <v>0</v>
      </c>
      <c r="P26" s="15">
        <v>0</v>
      </c>
      <c r="Q26" s="19">
        <v>41453</v>
      </c>
      <c r="R26" s="19">
        <v>41453</v>
      </c>
    </row>
    <row r="27" spans="1:18">
      <c r="A27" s="16">
        <v>2013</v>
      </c>
      <c r="B27" s="17" t="s">
        <v>449</v>
      </c>
      <c r="C27" s="17" t="s">
        <v>450</v>
      </c>
      <c r="D27" s="18">
        <v>1015042</v>
      </c>
      <c r="E27" s="18">
        <v>2</v>
      </c>
      <c r="F27" s="18"/>
      <c r="G27" s="18">
        <v>130</v>
      </c>
      <c r="H27" s="18">
        <v>2.1</v>
      </c>
      <c r="I27" s="18"/>
      <c r="J27" s="18" t="s">
        <v>56</v>
      </c>
      <c r="K27" s="18" t="b">
        <v>1</v>
      </c>
      <c r="L27" s="14">
        <v>2013</v>
      </c>
      <c r="M27" s="15">
        <v>6171894.0099999998</v>
      </c>
      <c r="N27" s="15">
        <v>7212062.29</v>
      </c>
      <c r="O27" s="15">
        <v>7155053.79</v>
      </c>
      <c r="P27" s="15">
        <v>6914327.4199999999</v>
      </c>
      <c r="Q27" s="19">
        <v>41453</v>
      </c>
      <c r="R27" s="19">
        <v>41453</v>
      </c>
    </row>
    <row r="28" spans="1:18">
      <c r="A28" s="16">
        <v>2013</v>
      </c>
      <c r="B28" s="17" t="s">
        <v>449</v>
      </c>
      <c r="C28" s="17" t="s">
        <v>450</v>
      </c>
      <c r="D28" s="18">
        <v>1015042</v>
      </c>
      <c r="E28" s="18">
        <v>2</v>
      </c>
      <c r="F28" s="18"/>
      <c r="G28" s="18">
        <v>460</v>
      </c>
      <c r="H28" s="18">
        <v>9.1999999999999993</v>
      </c>
      <c r="I28" s="18" t="s">
        <v>458</v>
      </c>
      <c r="J28" s="18" t="s">
        <v>94</v>
      </c>
      <c r="K28" s="18" t="b">
        <v>0</v>
      </c>
      <c r="L28" s="14">
        <v>2013</v>
      </c>
      <c r="M28" s="15">
        <v>6.1000000000000004E-3</v>
      </c>
      <c r="N28" s="15">
        <v>1.34E-2</v>
      </c>
      <c r="O28" s="15">
        <v>7.3700000000000002E-2</v>
      </c>
      <c r="P28" s="15">
        <v>7.4300000000000005E-2</v>
      </c>
      <c r="Q28" s="19">
        <v>41453</v>
      </c>
      <c r="R28" s="19">
        <v>41453</v>
      </c>
    </row>
    <row r="29" spans="1:18">
      <c r="A29" s="16">
        <v>2013</v>
      </c>
      <c r="B29" s="17" t="s">
        <v>449</v>
      </c>
      <c r="C29" s="17" t="s">
        <v>450</v>
      </c>
      <c r="D29" s="18">
        <v>1015042</v>
      </c>
      <c r="E29" s="18">
        <v>2</v>
      </c>
      <c r="F29" s="18"/>
      <c r="G29" s="18">
        <v>530</v>
      </c>
      <c r="H29" s="18">
        <v>9.8000000000000007</v>
      </c>
      <c r="I29" s="18" t="s">
        <v>456</v>
      </c>
      <c r="J29" s="18" t="s">
        <v>103</v>
      </c>
      <c r="K29" s="18" t="b">
        <v>0</v>
      </c>
      <c r="L29" s="14">
        <v>2013</v>
      </c>
      <c r="M29" s="15">
        <v>6.1000000000000004E-3</v>
      </c>
      <c r="N29" s="15">
        <v>1.34E-2</v>
      </c>
      <c r="O29" s="15">
        <v>7.3700000000000002E-2</v>
      </c>
      <c r="P29" s="15">
        <v>7.4300000000000005E-2</v>
      </c>
      <c r="Q29" s="19">
        <v>41453</v>
      </c>
      <c r="R29" s="19">
        <v>41453</v>
      </c>
    </row>
    <row r="30" spans="1:18">
      <c r="A30" s="16">
        <v>2013</v>
      </c>
      <c r="B30" s="17" t="s">
        <v>449</v>
      </c>
      <c r="C30" s="17" t="s">
        <v>450</v>
      </c>
      <c r="D30" s="18">
        <v>1015042</v>
      </c>
      <c r="E30" s="18">
        <v>2</v>
      </c>
      <c r="F30" s="18"/>
      <c r="G30" s="18">
        <v>350</v>
      </c>
      <c r="H30" s="18">
        <v>6</v>
      </c>
      <c r="I30" s="18"/>
      <c r="J30" s="18" t="s">
        <v>25</v>
      </c>
      <c r="K30" s="18" t="b">
        <v>1</v>
      </c>
      <c r="L30" s="14">
        <v>2013</v>
      </c>
      <c r="M30" s="15">
        <v>1694734.95</v>
      </c>
      <c r="N30" s="15">
        <v>2320666.36</v>
      </c>
      <c r="O30" s="15">
        <v>1373572.36</v>
      </c>
      <c r="P30" s="15">
        <v>1374219.43</v>
      </c>
      <c r="Q30" s="19">
        <v>41453</v>
      </c>
      <c r="R30" s="19">
        <v>41453</v>
      </c>
    </row>
    <row r="31" spans="1:18">
      <c r="A31" s="16">
        <v>2013</v>
      </c>
      <c r="B31" s="17" t="s">
        <v>449</v>
      </c>
      <c r="C31" s="17" t="s">
        <v>450</v>
      </c>
      <c r="D31" s="18">
        <v>1015042</v>
      </c>
      <c r="E31" s="18">
        <v>2</v>
      </c>
      <c r="F31" s="18"/>
      <c r="G31" s="18">
        <v>90</v>
      </c>
      <c r="H31" s="18">
        <v>1.2</v>
      </c>
      <c r="I31" s="18"/>
      <c r="J31" s="18" t="s">
        <v>51</v>
      </c>
      <c r="K31" s="18" t="b">
        <v>1</v>
      </c>
      <c r="L31" s="14">
        <v>2013</v>
      </c>
      <c r="M31" s="15">
        <v>379947.5</v>
      </c>
      <c r="N31" s="15">
        <v>2004388.3</v>
      </c>
      <c r="O31" s="15">
        <v>2213179.2599999998</v>
      </c>
      <c r="P31" s="15">
        <v>2074146.55</v>
      </c>
      <c r="Q31" s="19">
        <v>41453</v>
      </c>
      <c r="R31" s="19">
        <v>41453</v>
      </c>
    </row>
    <row r="32" spans="1:18">
      <c r="A32" s="16">
        <v>2013</v>
      </c>
      <c r="B32" s="17" t="s">
        <v>449</v>
      </c>
      <c r="C32" s="17" t="s">
        <v>450</v>
      </c>
      <c r="D32" s="18">
        <v>1015042</v>
      </c>
      <c r="E32" s="18">
        <v>2</v>
      </c>
      <c r="F32" s="18"/>
      <c r="G32" s="18">
        <v>790</v>
      </c>
      <c r="H32" s="18">
        <v>13</v>
      </c>
      <c r="I32" s="18"/>
      <c r="J32" s="18" t="s">
        <v>140</v>
      </c>
      <c r="K32" s="18" t="b">
        <v>1</v>
      </c>
      <c r="L32" s="14">
        <v>2013</v>
      </c>
      <c r="M32" s="15">
        <v>0</v>
      </c>
      <c r="N32" s="15">
        <v>0</v>
      </c>
      <c r="O32" s="15">
        <v>0</v>
      </c>
      <c r="P32" s="15">
        <v>0</v>
      </c>
      <c r="Q32" s="19">
        <v>41453</v>
      </c>
      <c r="R32" s="19">
        <v>41453</v>
      </c>
    </row>
    <row r="33" spans="1:18">
      <c r="A33" s="16">
        <v>2013</v>
      </c>
      <c r="B33" s="17" t="s">
        <v>449</v>
      </c>
      <c r="C33" s="17" t="s">
        <v>450</v>
      </c>
      <c r="D33" s="18">
        <v>1015042</v>
      </c>
      <c r="E33" s="18">
        <v>2</v>
      </c>
      <c r="F33" s="18"/>
      <c r="G33" s="18">
        <v>520</v>
      </c>
      <c r="H33" s="18" t="s">
        <v>101</v>
      </c>
      <c r="I33" s="18"/>
      <c r="J33" s="18" t="s">
        <v>463</v>
      </c>
      <c r="K33" s="18" t="b">
        <v>1</v>
      </c>
      <c r="L33" s="14">
        <v>2013</v>
      </c>
      <c r="M33" s="15">
        <v>0</v>
      </c>
      <c r="N33" s="15">
        <v>0</v>
      </c>
      <c r="O33" s="15">
        <v>0</v>
      </c>
      <c r="P33" s="15">
        <v>0</v>
      </c>
      <c r="Q33" s="19">
        <v>41453</v>
      </c>
      <c r="R33" s="19">
        <v>41453</v>
      </c>
    </row>
    <row r="34" spans="1:18">
      <c r="A34" s="16">
        <v>2013</v>
      </c>
      <c r="B34" s="17" t="s">
        <v>449</v>
      </c>
      <c r="C34" s="17" t="s">
        <v>450</v>
      </c>
      <c r="D34" s="18">
        <v>1015042</v>
      </c>
      <c r="E34" s="18">
        <v>2</v>
      </c>
      <c r="F34" s="18"/>
      <c r="G34" s="18">
        <v>300</v>
      </c>
      <c r="H34" s="18">
        <v>5</v>
      </c>
      <c r="I34" s="18" t="s">
        <v>466</v>
      </c>
      <c r="J34" s="18" t="s">
        <v>78</v>
      </c>
      <c r="K34" s="18" t="b">
        <v>0</v>
      </c>
      <c r="L34" s="14">
        <v>2013</v>
      </c>
      <c r="M34" s="15">
        <v>38661.15</v>
      </c>
      <c r="N34" s="15">
        <v>1005325.64</v>
      </c>
      <c r="O34" s="15">
        <v>947094</v>
      </c>
      <c r="P34" s="15">
        <v>946446.93</v>
      </c>
      <c r="Q34" s="19">
        <v>41453</v>
      </c>
      <c r="R34" s="19">
        <v>41453</v>
      </c>
    </row>
    <row r="35" spans="1:18">
      <c r="A35" s="16">
        <v>2013</v>
      </c>
      <c r="B35" s="17" t="s">
        <v>449</v>
      </c>
      <c r="C35" s="17" t="s">
        <v>450</v>
      </c>
      <c r="D35" s="18">
        <v>1015042</v>
      </c>
      <c r="E35" s="18">
        <v>2</v>
      </c>
      <c r="F35" s="18"/>
      <c r="G35" s="18">
        <v>40</v>
      </c>
      <c r="H35" s="18" t="s">
        <v>41</v>
      </c>
      <c r="I35" s="18"/>
      <c r="J35" s="18" t="s">
        <v>42</v>
      </c>
      <c r="K35" s="18" t="b">
        <v>1</v>
      </c>
      <c r="L35" s="14">
        <v>2013</v>
      </c>
      <c r="M35" s="15">
        <v>3671.66</v>
      </c>
      <c r="N35" s="15">
        <v>4554.66</v>
      </c>
      <c r="O35" s="15">
        <v>3000</v>
      </c>
      <c r="P35" s="15">
        <v>7007.11</v>
      </c>
      <c r="Q35" s="19">
        <v>41453</v>
      </c>
      <c r="R35" s="19">
        <v>41453</v>
      </c>
    </row>
    <row r="36" spans="1:18">
      <c r="A36" s="16">
        <v>2013</v>
      </c>
      <c r="B36" s="17" t="s">
        <v>449</v>
      </c>
      <c r="C36" s="17" t="s">
        <v>450</v>
      </c>
      <c r="D36" s="18">
        <v>1015042</v>
      </c>
      <c r="E36" s="18">
        <v>2</v>
      </c>
      <c r="F36" s="18"/>
      <c r="G36" s="18">
        <v>920</v>
      </c>
      <c r="H36" s="18" t="s">
        <v>154</v>
      </c>
      <c r="I36" s="18"/>
      <c r="J36" s="18" t="s">
        <v>155</v>
      </c>
      <c r="K36" s="18" t="b">
        <v>1</v>
      </c>
      <c r="L36" s="14">
        <v>2013</v>
      </c>
      <c r="M36" s="15">
        <v>0</v>
      </c>
      <c r="N36" s="15">
        <v>0</v>
      </c>
      <c r="O36" s="15">
        <v>0</v>
      </c>
      <c r="P36" s="15">
        <v>0</v>
      </c>
      <c r="Q36" s="19">
        <v>41453</v>
      </c>
      <c r="R36" s="19">
        <v>41453</v>
      </c>
    </row>
    <row r="37" spans="1:18">
      <c r="A37" s="16">
        <v>2013</v>
      </c>
      <c r="B37" s="17" t="s">
        <v>449</v>
      </c>
      <c r="C37" s="17" t="s">
        <v>450</v>
      </c>
      <c r="D37" s="18">
        <v>1015042</v>
      </c>
      <c r="E37" s="18">
        <v>2</v>
      </c>
      <c r="F37" s="18"/>
      <c r="G37" s="18">
        <v>680</v>
      </c>
      <c r="H37" s="18" t="s">
        <v>121</v>
      </c>
      <c r="I37" s="18"/>
      <c r="J37" s="18" t="s">
        <v>122</v>
      </c>
      <c r="K37" s="18" t="b">
        <v>1</v>
      </c>
      <c r="L37" s="14">
        <v>2013</v>
      </c>
      <c r="M37" s="15">
        <v>210903.7</v>
      </c>
      <c r="N37" s="15">
        <v>176014.17</v>
      </c>
      <c r="O37" s="15">
        <v>17085</v>
      </c>
      <c r="P37" s="15">
        <v>25500</v>
      </c>
      <c r="Q37" s="19">
        <v>41453</v>
      </c>
      <c r="R37" s="19">
        <v>41453</v>
      </c>
    </row>
    <row r="38" spans="1:18">
      <c r="A38" s="16">
        <v>2013</v>
      </c>
      <c r="B38" s="17" t="s">
        <v>449</v>
      </c>
      <c r="C38" s="17" t="s">
        <v>450</v>
      </c>
      <c r="D38" s="18">
        <v>1015042</v>
      </c>
      <c r="E38" s="18">
        <v>2</v>
      </c>
      <c r="F38" s="18"/>
      <c r="G38" s="18">
        <v>140</v>
      </c>
      <c r="H38" s="18" t="s">
        <v>57</v>
      </c>
      <c r="I38" s="18"/>
      <c r="J38" s="18" t="s">
        <v>58</v>
      </c>
      <c r="K38" s="18" t="b">
        <v>1</v>
      </c>
      <c r="L38" s="14">
        <v>2013</v>
      </c>
      <c r="M38" s="15">
        <v>0</v>
      </c>
      <c r="N38" s="15">
        <v>0</v>
      </c>
      <c r="O38" s="15">
        <v>0</v>
      </c>
      <c r="P38" s="15">
        <v>0</v>
      </c>
      <c r="Q38" s="19">
        <v>41453</v>
      </c>
      <c r="R38" s="19">
        <v>41453</v>
      </c>
    </row>
    <row r="39" spans="1:18">
      <c r="A39" s="16">
        <v>2013</v>
      </c>
      <c r="B39" s="17" t="s">
        <v>449</v>
      </c>
      <c r="C39" s="17" t="s">
        <v>450</v>
      </c>
      <c r="D39" s="18">
        <v>1015042</v>
      </c>
      <c r="E39" s="18">
        <v>2</v>
      </c>
      <c r="F39" s="18"/>
      <c r="G39" s="18">
        <v>690</v>
      </c>
      <c r="H39" s="18" t="s">
        <v>123</v>
      </c>
      <c r="I39" s="18"/>
      <c r="J39" s="18" t="s">
        <v>124</v>
      </c>
      <c r="K39" s="18" t="b">
        <v>1</v>
      </c>
      <c r="L39" s="14">
        <v>2013</v>
      </c>
      <c r="M39" s="15">
        <v>210903.7</v>
      </c>
      <c r="N39" s="15">
        <v>176014.17</v>
      </c>
      <c r="O39" s="15">
        <v>17085</v>
      </c>
      <c r="P39" s="15">
        <v>25500</v>
      </c>
      <c r="Q39" s="19">
        <v>41453</v>
      </c>
      <c r="R39" s="19">
        <v>41453</v>
      </c>
    </row>
    <row r="40" spans="1:18">
      <c r="A40" s="16">
        <v>2013</v>
      </c>
      <c r="B40" s="17" t="s">
        <v>449</v>
      </c>
      <c r="C40" s="17" t="s">
        <v>450</v>
      </c>
      <c r="D40" s="18">
        <v>1015042</v>
      </c>
      <c r="E40" s="18">
        <v>2</v>
      </c>
      <c r="F40" s="18"/>
      <c r="G40" s="18">
        <v>410</v>
      </c>
      <c r="H40" s="18">
        <v>8</v>
      </c>
      <c r="I40" s="18"/>
      <c r="J40" s="18" t="s">
        <v>172</v>
      </c>
      <c r="K40" s="18" t="b">
        <v>1</v>
      </c>
      <c r="L40" s="14">
        <v>2013</v>
      </c>
      <c r="M40" s="15">
        <v>0</v>
      </c>
      <c r="N40" s="15">
        <v>0</v>
      </c>
      <c r="O40" s="15">
        <v>0</v>
      </c>
      <c r="P40" s="15">
        <v>0</v>
      </c>
      <c r="Q40" s="19">
        <v>41453</v>
      </c>
      <c r="R40" s="19">
        <v>41453</v>
      </c>
    </row>
    <row r="41" spans="1:18">
      <c r="A41" s="16">
        <v>2013</v>
      </c>
      <c r="B41" s="17" t="s">
        <v>449</v>
      </c>
      <c r="C41" s="17" t="s">
        <v>450</v>
      </c>
      <c r="D41" s="18">
        <v>1015042</v>
      </c>
      <c r="E41" s="18">
        <v>2</v>
      </c>
      <c r="F41" s="18"/>
      <c r="G41" s="18">
        <v>260</v>
      </c>
      <c r="H41" s="18">
        <v>4.3</v>
      </c>
      <c r="I41" s="18"/>
      <c r="J41" s="18" t="s">
        <v>74</v>
      </c>
      <c r="K41" s="18" t="b">
        <v>1</v>
      </c>
      <c r="L41" s="14">
        <v>2013</v>
      </c>
      <c r="M41" s="15">
        <v>1575992</v>
      </c>
      <c r="N41" s="15">
        <v>1750000</v>
      </c>
      <c r="O41" s="15">
        <v>0</v>
      </c>
      <c r="P41" s="15">
        <v>0</v>
      </c>
      <c r="Q41" s="19">
        <v>41453</v>
      </c>
      <c r="R41" s="19">
        <v>41453</v>
      </c>
    </row>
    <row r="42" spans="1:18">
      <c r="A42" s="16">
        <v>2013</v>
      </c>
      <c r="B42" s="17" t="s">
        <v>449</v>
      </c>
      <c r="C42" s="17" t="s">
        <v>450</v>
      </c>
      <c r="D42" s="18">
        <v>1015042</v>
      </c>
      <c r="E42" s="18">
        <v>2</v>
      </c>
      <c r="F42" s="18"/>
      <c r="G42" s="18">
        <v>330</v>
      </c>
      <c r="H42" s="18" t="s">
        <v>82</v>
      </c>
      <c r="I42" s="18"/>
      <c r="J42" s="18" t="s">
        <v>83</v>
      </c>
      <c r="K42" s="18" t="b">
        <v>1</v>
      </c>
      <c r="L42" s="14">
        <v>2013</v>
      </c>
      <c r="M42" s="15">
        <v>0</v>
      </c>
      <c r="N42" s="15">
        <v>911698</v>
      </c>
      <c r="O42" s="15">
        <v>304294</v>
      </c>
      <c r="P42" s="15">
        <v>304294</v>
      </c>
      <c r="Q42" s="19">
        <v>41453</v>
      </c>
      <c r="R42" s="19">
        <v>41453</v>
      </c>
    </row>
    <row r="43" spans="1:18">
      <c r="A43" s="16">
        <v>2013</v>
      </c>
      <c r="B43" s="17" t="s">
        <v>449</v>
      </c>
      <c r="C43" s="17" t="s">
        <v>450</v>
      </c>
      <c r="D43" s="18">
        <v>1015042</v>
      </c>
      <c r="E43" s="18">
        <v>2</v>
      </c>
      <c r="F43" s="18"/>
      <c r="G43" s="18">
        <v>850</v>
      </c>
      <c r="H43" s="18">
        <v>13.6</v>
      </c>
      <c r="I43" s="18"/>
      <c r="J43" s="18" t="s">
        <v>146</v>
      </c>
      <c r="K43" s="18" t="b">
        <v>1</v>
      </c>
      <c r="L43" s="14">
        <v>2013</v>
      </c>
      <c r="M43" s="15">
        <v>0</v>
      </c>
      <c r="N43" s="15">
        <v>0</v>
      </c>
      <c r="O43" s="15">
        <v>0</v>
      </c>
      <c r="P43" s="15">
        <v>0</v>
      </c>
      <c r="Q43" s="19">
        <v>41453</v>
      </c>
      <c r="R43" s="19">
        <v>41453</v>
      </c>
    </row>
    <row r="44" spans="1:18">
      <c r="A44" s="16">
        <v>2013</v>
      </c>
      <c r="B44" s="17" t="s">
        <v>449</v>
      </c>
      <c r="C44" s="17" t="s">
        <v>450</v>
      </c>
      <c r="D44" s="18">
        <v>1015042</v>
      </c>
      <c r="E44" s="18">
        <v>2</v>
      </c>
      <c r="F44" s="18"/>
      <c r="G44" s="18">
        <v>660</v>
      </c>
      <c r="H44" s="18">
        <v>12</v>
      </c>
      <c r="I44" s="18"/>
      <c r="J44" s="18" t="s">
        <v>119</v>
      </c>
      <c r="K44" s="18" t="b">
        <v>1</v>
      </c>
      <c r="L44" s="14">
        <v>2013</v>
      </c>
      <c r="M44" s="15">
        <v>0</v>
      </c>
      <c r="N44" s="15">
        <v>0</v>
      </c>
      <c r="O44" s="15">
        <v>0</v>
      </c>
      <c r="P44" s="15">
        <v>0</v>
      </c>
      <c r="Q44" s="19">
        <v>41453</v>
      </c>
      <c r="R44" s="19">
        <v>41453</v>
      </c>
    </row>
    <row r="45" spans="1:18">
      <c r="A45" s="16">
        <v>2013</v>
      </c>
      <c r="B45" s="17" t="s">
        <v>449</v>
      </c>
      <c r="C45" s="17" t="s">
        <v>450</v>
      </c>
      <c r="D45" s="18">
        <v>1015042</v>
      </c>
      <c r="E45" s="18">
        <v>2</v>
      </c>
      <c r="F45" s="18"/>
      <c r="G45" s="18">
        <v>800</v>
      </c>
      <c r="H45" s="18">
        <v>13.1</v>
      </c>
      <c r="I45" s="18"/>
      <c r="J45" s="18" t="s">
        <v>141</v>
      </c>
      <c r="K45" s="18" t="b">
        <v>1</v>
      </c>
      <c r="L45" s="14">
        <v>2013</v>
      </c>
      <c r="M45" s="15">
        <v>0</v>
      </c>
      <c r="N45" s="15">
        <v>0</v>
      </c>
      <c r="O45" s="15">
        <v>0</v>
      </c>
      <c r="P45" s="15">
        <v>0</v>
      </c>
      <c r="Q45" s="19">
        <v>41453</v>
      </c>
      <c r="R45" s="19">
        <v>41453</v>
      </c>
    </row>
    <row r="46" spans="1:18">
      <c r="A46" s="16">
        <v>2013</v>
      </c>
      <c r="B46" s="17" t="s">
        <v>449</v>
      </c>
      <c r="C46" s="17" t="s">
        <v>450</v>
      </c>
      <c r="D46" s="18">
        <v>1015042</v>
      </c>
      <c r="E46" s="18">
        <v>2</v>
      </c>
      <c r="F46" s="18"/>
      <c r="G46" s="18">
        <v>830</v>
      </c>
      <c r="H46" s="18">
        <v>13.4</v>
      </c>
      <c r="I46" s="18"/>
      <c r="J46" s="18" t="s">
        <v>144</v>
      </c>
      <c r="K46" s="18" t="b">
        <v>1</v>
      </c>
      <c r="L46" s="14">
        <v>2013</v>
      </c>
      <c r="M46" s="15">
        <v>0</v>
      </c>
      <c r="N46" s="15">
        <v>0</v>
      </c>
      <c r="O46" s="15">
        <v>0</v>
      </c>
      <c r="P46" s="15">
        <v>0</v>
      </c>
      <c r="Q46" s="19">
        <v>41453</v>
      </c>
      <c r="R46" s="19">
        <v>41453</v>
      </c>
    </row>
    <row r="47" spans="1:18">
      <c r="A47" s="16">
        <v>2013</v>
      </c>
      <c r="B47" s="17" t="s">
        <v>449</v>
      </c>
      <c r="C47" s="17" t="s">
        <v>450</v>
      </c>
      <c r="D47" s="18">
        <v>1015042</v>
      </c>
      <c r="E47" s="18">
        <v>2</v>
      </c>
      <c r="F47" s="18"/>
      <c r="G47" s="18">
        <v>310</v>
      </c>
      <c r="H47" s="18">
        <v>5.0999999999999996</v>
      </c>
      <c r="I47" s="18"/>
      <c r="J47" s="18" t="s">
        <v>79</v>
      </c>
      <c r="K47" s="18" t="b">
        <v>1</v>
      </c>
      <c r="L47" s="14">
        <v>2013</v>
      </c>
      <c r="M47" s="15">
        <v>38661.15</v>
      </c>
      <c r="N47" s="15">
        <v>1005325.64</v>
      </c>
      <c r="O47" s="15">
        <v>947094</v>
      </c>
      <c r="P47" s="15">
        <v>946446.93</v>
      </c>
      <c r="Q47" s="19">
        <v>41453</v>
      </c>
      <c r="R47" s="19">
        <v>41453</v>
      </c>
    </row>
    <row r="48" spans="1:18">
      <c r="A48" s="16">
        <v>2013</v>
      </c>
      <c r="B48" s="17" t="s">
        <v>449</v>
      </c>
      <c r="C48" s="17" t="s">
        <v>450</v>
      </c>
      <c r="D48" s="18">
        <v>1015042</v>
      </c>
      <c r="E48" s="18">
        <v>2</v>
      </c>
      <c r="F48" s="18"/>
      <c r="G48" s="18">
        <v>420</v>
      </c>
      <c r="H48" s="18">
        <v>8.1</v>
      </c>
      <c r="I48" s="18" t="s">
        <v>461</v>
      </c>
      <c r="J48" s="18" t="s">
        <v>91</v>
      </c>
      <c r="K48" s="18" t="b">
        <v>0</v>
      </c>
      <c r="L48" s="14">
        <v>2013</v>
      </c>
      <c r="M48" s="15">
        <v>777745.09</v>
      </c>
      <c r="N48" s="15">
        <v>459213.52</v>
      </c>
      <c r="O48" s="15">
        <v>910083.74</v>
      </c>
      <c r="P48" s="15">
        <v>1151023.1000000001</v>
      </c>
      <c r="Q48" s="19">
        <v>41453</v>
      </c>
      <c r="R48" s="19">
        <v>41453</v>
      </c>
    </row>
    <row r="49" spans="1:18">
      <c r="A49" s="16">
        <v>2013</v>
      </c>
      <c r="B49" s="17" t="s">
        <v>449</v>
      </c>
      <c r="C49" s="17" t="s">
        <v>450</v>
      </c>
      <c r="D49" s="18">
        <v>1015042</v>
      </c>
      <c r="E49" s="18">
        <v>2</v>
      </c>
      <c r="F49" s="18"/>
      <c r="G49" s="18">
        <v>20</v>
      </c>
      <c r="H49" s="18">
        <v>1.1000000000000001</v>
      </c>
      <c r="I49" s="18"/>
      <c r="J49" s="18" t="s">
        <v>38</v>
      </c>
      <c r="K49" s="18" t="b">
        <v>1</v>
      </c>
      <c r="L49" s="14">
        <v>2013</v>
      </c>
      <c r="M49" s="15">
        <v>6949639.0999999996</v>
      </c>
      <c r="N49" s="15">
        <v>7671275.8099999996</v>
      </c>
      <c r="O49" s="15">
        <v>8065137.5300000003</v>
      </c>
      <c r="P49" s="15">
        <v>8065350.5199999996</v>
      </c>
      <c r="Q49" s="19">
        <v>41453</v>
      </c>
      <c r="R49" s="19">
        <v>41453</v>
      </c>
    </row>
    <row r="50" spans="1:18">
      <c r="A50" s="16">
        <v>2013</v>
      </c>
      <c r="B50" s="17" t="s">
        <v>449</v>
      </c>
      <c r="C50" s="17" t="s">
        <v>450</v>
      </c>
      <c r="D50" s="18">
        <v>1015042</v>
      </c>
      <c r="E50" s="18">
        <v>2</v>
      </c>
      <c r="F50" s="18"/>
      <c r="G50" s="18">
        <v>120</v>
      </c>
      <c r="H50" s="18">
        <v>2</v>
      </c>
      <c r="I50" s="18" t="s">
        <v>464</v>
      </c>
      <c r="J50" s="18" t="s">
        <v>19</v>
      </c>
      <c r="K50" s="18" t="b">
        <v>0</v>
      </c>
      <c r="L50" s="14">
        <v>2013</v>
      </c>
      <c r="M50" s="15">
        <v>9567115.8100000005</v>
      </c>
      <c r="N50" s="15">
        <v>10779094.59</v>
      </c>
      <c r="O50" s="15">
        <v>9592722.7899999991</v>
      </c>
      <c r="P50" s="15">
        <v>9050022.6400000006</v>
      </c>
      <c r="Q50" s="19">
        <v>41453</v>
      </c>
      <c r="R50" s="19">
        <v>41453</v>
      </c>
    </row>
    <row r="51" spans="1:18">
      <c r="A51" s="16">
        <v>2013</v>
      </c>
      <c r="B51" s="17" t="s">
        <v>449</v>
      </c>
      <c r="C51" s="17" t="s">
        <v>450</v>
      </c>
      <c r="D51" s="18">
        <v>1015042</v>
      </c>
      <c r="E51" s="18">
        <v>2</v>
      </c>
      <c r="F51" s="18"/>
      <c r="G51" s="18">
        <v>150</v>
      </c>
      <c r="H51" s="18" t="s">
        <v>59</v>
      </c>
      <c r="I51" s="18"/>
      <c r="J51" s="18" t="s">
        <v>60</v>
      </c>
      <c r="K51" s="18" t="b">
        <v>1</v>
      </c>
      <c r="L51" s="14">
        <v>2013</v>
      </c>
      <c r="M51" s="15">
        <v>0</v>
      </c>
      <c r="N51" s="15">
        <v>0</v>
      </c>
      <c r="O51" s="15">
        <v>0</v>
      </c>
      <c r="P51" s="15">
        <v>0</v>
      </c>
      <c r="Q51" s="19">
        <v>41453</v>
      </c>
      <c r="R51" s="19">
        <v>41453</v>
      </c>
    </row>
    <row r="52" spans="1:18">
      <c r="A52" s="16">
        <v>2013</v>
      </c>
      <c r="B52" s="17" t="s">
        <v>449</v>
      </c>
      <c r="C52" s="17" t="s">
        <v>450</v>
      </c>
      <c r="D52" s="18">
        <v>1015042</v>
      </c>
      <c r="E52" s="18">
        <v>2</v>
      </c>
      <c r="F52" s="18"/>
      <c r="G52" s="18">
        <v>670</v>
      </c>
      <c r="H52" s="18">
        <v>12.1</v>
      </c>
      <c r="I52" s="18"/>
      <c r="J52" s="18" t="s">
        <v>120</v>
      </c>
      <c r="K52" s="18" t="b">
        <v>1</v>
      </c>
      <c r="L52" s="14">
        <v>2013</v>
      </c>
      <c r="M52" s="15">
        <v>246948.93</v>
      </c>
      <c r="N52" s="15">
        <v>208248.55</v>
      </c>
      <c r="O52" s="15">
        <v>20100</v>
      </c>
      <c r="P52" s="15">
        <v>28515</v>
      </c>
      <c r="Q52" s="19">
        <v>41453</v>
      </c>
      <c r="R52" s="19">
        <v>41453</v>
      </c>
    </row>
    <row r="53" spans="1:18">
      <c r="A53" s="16">
        <v>2013</v>
      </c>
      <c r="B53" s="17" t="s">
        <v>449</v>
      </c>
      <c r="C53" s="17" t="s">
        <v>450</v>
      </c>
      <c r="D53" s="18">
        <v>1015042</v>
      </c>
      <c r="E53" s="18">
        <v>2</v>
      </c>
      <c r="F53" s="18"/>
      <c r="G53" s="18">
        <v>480</v>
      </c>
      <c r="H53" s="18">
        <v>9.4</v>
      </c>
      <c r="I53" s="18" t="s">
        <v>458</v>
      </c>
      <c r="J53" s="18" t="s">
        <v>95</v>
      </c>
      <c r="K53" s="18" t="b">
        <v>0</v>
      </c>
      <c r="L53" s="14">
        <v>2013</v>
      </c>
      <c r="M53" s="15">
        <v>6.1000000000000004E-3</v>
      </c>
      <c r="N53" s="15">
        <v>1.34E-2</v>
      </c>
      <c r="O53" s="15">
        <v>7.3700000000000002E-2</v>
      </c>
      <c r="P53" s="15">
        <v>7.4300000000000005E-2</v>
      </c>
      <c r="Q53" s="19">
        <v>41453</v>
      </c>
      <c r="R53" s="19">
        <v>41453</v>
      </c>
    </row>
    <row r="54" spans="1:18">
      <c r="A54" s="16">
        <v>2013</v>
      </c>
      <c r="B54" s="17" t="s">
        <v>449</v>
      </c>
      <c r="C54" s="17" t="s">
        <v>450</v>
      </c>
      <c r="D54" s="18">
        <v>1015042</v>
      </c>
      <c r="E54" s="18">
        <v>2</v>
      </c>
      <c r="F54" s="18"/>
      <c r="G54" s="18">
        <v>60</v>
      </c>
      <c r="H54" s="18" t="s">
        <v>45</v>
      </c>
      <c r="I54" s="18"/>
      <c r="J54" s="18" t="s">
        <v>46</v>
      </c>
      <c r="K54" s="18" t="b">
        <v>1</v>
      </c>
      <c r="L54" s="14">
        <v>2013</v>
      </c>
      <c r="M54" s="15">
        <v>845282.26</v>
      </c>
      <c r="N54" s="15">
        <v>954120.66</v>
      </c>
      <c r="O54" s="15">
        <v>990000</v>
      </c>
      <c r="P54" s="15">
        <v>1013463.68</v>
      </c>
      <c r="Q54" s="19">
        <v>41453</v>
      </c>
      <c r="R54" s="19">
        <v>41453</v>
      </c>
    </row>
    <row r="55" spans="1:18">
      <c r="A55" s="16">
        <v>2013</v>
      </c>
      <c r="B55" s="17" t="s">
        <v>449</v>
      </c>
      <c r="C55" s="17" t="s">
        <v>450</v>
      </c>
      <c r="D55" s="18">
        <v>1015042</v>
      </c>
      <c r="E55" s="18">
        <v>2</v>
      </c>
      <c r="F55" s="18"/>
      <c r="G55" s="18">
        <v>200</v>
      </c>
      <c r="H55" s="18">
        <v>3</v>
      </c>
      <c r="I55" s="18" t="s">
        <v>451</v>
      </c>
      <c r="J55" s="18" t="s">
        <v>21</v>
      </c>
      <c r="K55" s="18" t="b">
        <v>0</v>
      </c>
      <c r="L55" s="14">
        <v>2013</v>
      </c>
      <c r="M55" s="15">
        <v>-2237529.21</v>
      </c>
      <c r="N55" s="15">
        <v>-1103430.48</v>
      </c>
      <c r="O55" s="15">
        <v>685594</v>
      </c>
      <c r="P55" s="15">
        <v>1089474.43</v>
      </c>
      <c r="Q55" s="19">
        <v>41453</v>
      </c>
      <c r="R55" s="19">
        <v>41453</v>
      </c>
    </row>
    <row r="56" spans="1:18">
      <c r="A56" s="16">
        <v>2013</v>
      </c>
      <c r="B56" s="17" t="s">
        <v>449</v>
      </c>
      <c r="C56" s="17" t="s">
        <v>450</v>
      </c>
      <c r="D56" s="18">
        <v>1015042</v>
      </c>
      <c r="E56" s="18">
        <v>2</v>
      </c>
      <c r="F56" s="18"/>
      <c r="G56" s="18">
        <v>370</v>
      </c>
      <c r="H56" s="18" t="s">
        <v>86</v>
      </c>
      <c r="I56" s="18"/>
      <c r="J56" s="18" t="s">
        <v>87</v>
      </c>
      <c r="K56" s="18" t="b">
        <v>1</v>
      </c>
      <c r="L56" s="14">
        <v>2013</v>
      </c>
      <c r="M56" s="15">
        <v>1215992</v>
      </c>
      <c r="N56" s="15">
        <v>304294</v>
      </c>
      <c r="O56" s="15">
        <v>0</v>
      </c>
      <c r="P56" s="15">
        <v>0</v>
      </c>
      <c r="Q56" s="19">
        <v>41453</v>
      </c>
      <c r="R56" s="19">
        <v>41453</v>
      </c>
    </row>
    <row r="57" spans="1:18">
      <c r="A57" s="16">
        <v>2013</v>
      </c>
      <c r="B57" s="17" t="s">
        <v>449</v>
      </c>
      <c r="C57" s="17" t="s">
        <v>450</v>
      </c>
      <c r="D57" s="18">
        <v>1015042</v>
      </c>
      <c r="E57" s="18">
        <v>2</v>
      </c>
      <c r="F57" s="18"/>
      <c r="G57" s="18">
        <v>910</v>
      </c>
      <c r="H57" s="18" t="s">
        <v>152</v>
      </c>
      <c r="I57" s="18"/>
      <c r="J57" s="18" t="s">
        <v>153</v>
      </c>
      <c r="K57" s="18" t="b">
        <v>1</v>
      </c>
      <c r="L57" s="14">
        <v>2013</v>
      </c>
      <c r="M57" s="15">
        <v>0</v>
      </c>
      <c r="N57" s="15">
        <v>0</v>
      </c>
      <c r="O57" s="15">
        <v>0</v>
      </c>
      <c r="P57" s="15">
        <v>0</v>
      </c>
      <c r="Q57" s="19">
        <v>41453</v>
      </c>
      <c r="R57" s="19">
        <v>41453</v>
      </c>
    </row>
    <row r="58" spans="1:18">
      <c r="A58" s="16">
        <v>2013</v>
      </c>
      <c r="B58" s="17" t="s">
        <v>449</v>
      </c>
      <c r="C58" s="17" t="s">
        <v>450</v>
      </c>
      <c r="D58" s="18">
        <v>1015042</v>
      </c>
      <c r="E58" s="18">
        <v>2</v>
      </c>
      <c r="F58" s="18"/>
      <c r="G58" s="18">
        <v>380</v>
      </c>
      <c r="H58" s="18">
        <v>6.2</v>
      </c>
      <c r="I58" s="18" t="s">
        <v>460</v>
      </c>
      <c r="J58" s="18" t="s">
        <v>88</v>
      </c>
      <c r="K58" s="18" t="b">
        <v>0</v>
      </c>
      <c r="L58" s="14">
        <v>2013</v>
      </c>
      <c r="M58" s="15">
        <v>0.23119999999999999</v>
      </c>
      <c r="N58" s="15">
        <v>0.23980000000000001</v>
      </c>
      <c r="O58" s="15">
        <v>0.1336</v>
      </c>
      <c r="P58" s="15">
        <v>0.13550000000000001</v>
      </c>
      <c r="Q58" s="19">
        <v>41453</v>
      </c>
      <c r="R58" s="19">
        <v>41453</v>
      </c>
    </row>
    <row r="59" spans="1:18">
      <c r="A59" s="16">
        <v>2013</v>
      </c>
      <c r="B59" s="17" t="s">
        <v>449</v>
      </c>
      <c r="C59" s="17" t="s">
        <v>450</v>
      </c>
      <c r="D59" s="18">
        <v>1015042</v>
      </c>
      <c r="E59" s="18">
        <v>2</v>
      </c>
      <c r="F59" s="18"/>
      <c r="G59" s="18">
        <v>550</v>
      </c>
      <c r="H59" s="18">
        <v>10</v>
      </c>
      <c r="I59" s="18"/>
      <c r="J59" s="18" t="s">
        <v>106</v>
      </c>
      <c r="K59" s="18" t="b">
        <v>0</v>
      </c>
      <c r="L59" s="14">
        <v>2013</v>
      </c>
      <c r="M59" s="15">
        <v>0</v>
      </c>
      <c r="N59" s="15">
        <v>0</v>
      </c>
      <c r="O59" s="15">
        <v>0</v>
      </c>
      <c r="P59" s="15">
        <v>0</v>
      </c>
      <c r="Q59" s="19">
        <v>41453</v>
      </c>
      <c r="R59" s="19">
        <v>41453</v>
      </c>
    </row>
    <row r="60" spans="1:18">
      <c r="A60" s="16">
        <v>2013</v>
      </c>
      <c r="B60" s="17" t="s">
        <v>449</v>
      </c>
      <c r="C60" s="17" t="s">
        <v>450</v>
      </c>
      <c r="D60" s="18">
        <v>1015042</v>
      </c>
      <c r="E60" s="18">
        <v>2</v>
      </c>
      <c r="F60" s="18"/>
      <c r="G60" s="18">
        <v>730</v>
      </c>
      <c r="H60" s="18">
        <v>12.3</v>
      </c>
      <c r="I60" s="18"/>
      <c r="J60" s="18" t="s">
        <v>130</v>
      </c>
      <c r="K60" s="18" t="b">
        <v>0</v>
      </c>
      <c r="L60" s="14">
        <v>2013</v>
      </c>
      <c r="M60" s="15">
        <v>240301.64</v>
      </c>
      <c r="N60" s="15">
        <v>215996.41</v>
      </c>
      <c r="O60" s="15">
        <v>20100</v>
      </c>
      <c r="P60" s="15">
        <v>20100</v>
      </c>
      <c r="Q60" s="19">
        <v>41453</v>
      </c>
      <c r="R60" s="19">
        <v>41453</v>
      </c>
    </row>
    <row r="61" spans="1:18">
      <c r="A61" s="16">
        <v>2013</v>
      </c>
      <c r="B61" s="17" t="s">
        <v>449</v>
      </c>
      <c r="C61" s="17" t="s">
        <v>450</v>
      </c>
      <c r="D61" s="18">
        <v>1015042</v>
      </c>
      <c r="E61" s="18">
        <v>2</v>
      </c>
      <c r="F61" s="18"/>
      <c r="G61" s="18">
        <v>810</v>
      </c>
      <c r="H61" s="18">
        <v>13.2</v>
      </c>
      <c r="I61" s="18"/>
      <c r="J61" s="18" t="s">
        <v>142</v>
      </c>
      <c r="K61" s="18" t="b">
        <v>1</v>
      </c>
      <c r="L61" s="14">
        <v>2013</v>
      </c>
      <c r="M61" s="15">
        <v>0</v>
      </c>
      <c r="N61" s="15">
        <v>0</v>
      </c>
      <c r="O61" s="15">
        <v>0</v>
      </c>
      <c r="P61" s="15">
        <v>0</v>
      </c>
      <c r="Q61" s="19">
        <v>41453</v>
      </c>
      <c r="R61" s="19">
        <v>41453</v>
      </c>
    </row>
    <row r="62" spans="1:18">
      <c r="A62" s="16">
        <v>2013</v>
      </c>
      <c r="B62" s="17" t="s">
        <v>449</v>
      </c>
      <c r="C62" s="17" t="s">
        <v>450</v>
      </c>
      <c r="D62" s="18">
        <v>1015042</v>
      </c>
      <c r="E62" s="18">
        <v>2</v>
      </c>
      <c r="F62" s="18"/>
      <c r="G62" s="18">
        <v>900</v>
      </c>
      <c r="H62" s="18">
        <v>14.3</v>
      </c>
      <c r="I62" s="18"/>
      <c r="J62" s="18" t="s">
        <v>151</v>
      </c>
      <c r="K62" s="18" t="b">
        <v>1</v>
      </c>
      <c r="L62" s="14">
        <v>2013</v>
      </c>
      <c r="M62" s="15">
        <v>0</v>
      </c>
      <c r="N62" s="15">
        <v>0</v>
      </c>
      <c r="O62" s="15">
        <v>0</v>
      </c>
      <c r="P62" s="15">
        <v>0</v>
      </c>
      <c r="Q62" s="19">
        <v>41453</v>
      </c>
      <c r="R62" s="19">
        <v>41453</v>
      </c>
    </row>
    <row r="63" spans="1:18">
      <c r="A63" s="16">
        <v>2013</v>
      </c>
      <c r="B63" s="17" t="s">
        <v>449</v>
      </c>
      <c r="C63" s="17" t="s">
        <v>450</v>
      </c>
      <c r="D63" s="18">
        <v>1015042</v>
      </c>
      <c r="E63" s="18">
        <v>2</v>
      </c>
      <c r="F63" s="18"/>
      <c r="G63" s="18">
        <v>450</v>
      </c>
      <c r="H63" s="18">
        <v>9.1</v>
      </c>
      <c r="I63" s="18" t="s">
        <v>453</v>
      </c>
      <c r="J63" s="18" t="s">
        <v>93</v>
      </c>
      <c r="K63" s="18" t="b">
        <v>1</v>
      </c>
      <c r="L63" s="14">
        <v>2013</v>
      </c>
      <c r="M63" s="15">
        <v>6.1000000000000004E-3</v>
      </c>
      <c r="N63" s="15">
        <v>0.1076</v>
      </c>
      <c r="O63" s="15">
        <v>0.1033</v>
      </c>
      <c r="P63" s="15">
        <v>0.1043</v>
      </c>
      <c r="Q63" s="19">
        <v>41453</v>
      </c>
      <c r="R63" s="19">
        <v>41453</v>
      </c>
    </row>
    <row r="64" spans="1:18">
      <c r="A64" s="16">
        <v>2013</v>
      </c>
      <c r="B64" s="17" t="s">
        <v>449</v>
      </c>
      <c r="C64" s="17" t="s">
        <v>450</v>
      </c>
      <c r="D64" s="18">
        <v>1015042</v>
      </c>
      <c r="E64" s="18">
        <v>2</v>
      </c>
      <c r="F64" s="18"/>
      <c r="G64" s="18">
        <v>400</v>
      </c>
      <c r="H64" s="18">
        <v>7</v>
      </c>
      <c r="I64" s="18"/>
      <c r="J64" s="18" t="s">
        <v>90</v>
      </c>
      <c r="K64" s="18" t="b">
        <v>1</v>
      </c>
      <c r="L64" s="14">
        <v>2013</v>
      </c>
      <c r="M64" s="15">
        <v>0</v>
      </c>
      <c r="N64" s="15">
        <v>0</v>
      </c>
      <c r="O64" s="15">
        <v>0</v>
      </c>
      <c r="P64" s="15">
        <v>0</v>
      </c>
      <c r="Q64" s="19">
        <v>41453</v>
      </c>
      <c r="R64" s="19">
        <v>41453</v>
      </c>
    </row>
    <row r="65" spans="1:18">
      <c r="A65" s="16">
        <v>2013</v>
      </c>
      <c r="B65" s="17" t="s">
        <v>449</v>
      </c>
      <c r="C65" s="17" t="s">
        <v>450</v>
      </c>
      <c r="D65" s="18">
        <v>1015042</v>
      </c>
      <c r="E65" s="18">
        <v>2</v>
      </c>
      <c r="F65" s="18"/>
      <c r="G65" s="18">
        <v>600</v>
      </c>
      <c r="H65" s="18">
        <v>11.3</v>
      </c>
      <c r="I65" s="18" t="s">
        <v>469</v>
      </c>
      <c r="J65" s="18" t="s">
        <v>111</v>
      </c>
      <c r="K65" s="18" t="b">
        <v>1</v>
      </c>
      <c r="L65" s="14">
        <v>2013</v>
      </c>
      <c r="M65" s="15">
        <v>0</v>
      </c>
      <c r="N65" s="15">
        <v>0</v>
      </c>
      <c r="O65" s="15">
        <v>0</v>
      </c>
      <c r="P65" s="15">
        <v>0</v>
      </c>
      <c r="Q65" s="19">
        <v>41453</v>
      </c>
      <c r="R65" s="19">
        <v>41453</v>
      </c>
    </row>
    <row r="66" spans="1:18">
      <c r="A66" s="16">
        <v>2013</v>
      </c>
      <c r="B66" s="17" t="s">
        <v>449</v>
      </c>
      <c r="C66" s="17" t="s">
        <v>450</v>
      </c>
      <c r="D66" s="18">
        <v>1015042</v>
      </c>
      <c r="E66" s="18">
        <v>2</v>
      </c>
      <c r="F66" s="18"/>
      <c r="G66" s="18">
        <v>70</v>
      </c>
      <c r="H66" s="18" t="s">
        <v>47</v>
      </c>
      <c r="I66" s="18"/>
      <c r="J66" s="18" t="s">
        <v>48</v>
      </c>
      <c r="K66" s="18" t="b">
        <v>1</v>
      </c>
      <c r="L66" s="14">
        <v>2013</v>
      </c>
      <c r="M66" s="15">
        <v>2899017</v>
      </c>
      <c r="N66" s="15">
        <v>2979106</v>
      </c>
      <c r="O66" s="15">
        <v>3135378</v>
      </c>
      <c r="P66" s="15">
        <v>3155234</v>
      </c>
      <c r="Q66" s="19">
        <v>41453</v>
      </c>
      <c r="R66" s="19">
        <v>41453</v>
      </c>
    </row>
    <row r="67" spans="1:18">
      <c r="A67" s="16">
        <v>2013</v>
      </c>
      <c r="B67" s="17" t="s">
        <v>449</v>
      </c>
      <c r="C67" s="17" t="s">
        <v>450</v>
      </c>
      <c r="D67" s="18">
        <v>1015042</v>
      </c>
      <c r="E67" s="18">
        <v>2</v>
      </c>
      <c r="F67" s="18"/>
      <c r="G67" s="18">
        <v>770</v>
      </c>
      <c r="H67" s="18" t="s">
        <v>136</v>
      </c>
      <c r="I67" s="18"/>
      <c r="J67" s="18" t="s">
        <v>137</v>
      </c>
      <c r="K67" s="18" t="b">
        <v>1</v>
      </c>
      <c r="L67" s="14">
        <v>2013</v>
      </c>
      <c r="M67" s="15">
        <v>1261498.77</v>
      </c>
      <c r="N67" s="15">
        <v>1053130</v>
      </c>
      <c r="O67" s="15">
        <v>670024</v>
      </c>
      <c r="P67" s="15">
        <v>613013.13</v>
      </c>
      <c r="Q67" s="19">
        <v>41453</v>
      </c>
      <c r="R67" s="19">
        <v>41453</v>
      </c>
    </row>
    <row r="68" spans="1:18">
      <c r="A68" s="16">
        <v>2013</v>
      </c>
      <c r="B68" s="17" t="s">
        <v>449</v>
      </c>
      <c r="C68" s="17" t="s">
        <v>450</v>
      </c>
      <c r="D68" s="18">
        <v>1015042</v>
      </c>
      <c r="E68" s="18">
        <v>2</v>
      </c>
      <c r="F68" s="18"/>
      <c r="G68" s="18">
        <v>870</v>
      </c>
      <c r="H68" s="18">
        <v>14</v>
      </c>
      <c r="I68" s="18"/>
      <c r="J68" s="18" t="s">
        <v>148</v>
      </c>
      <c r="K68" s="18" t="b">
        <v>1</v>
      </c>
      <c r="L68" s="14">
        <v>2013</v>
      </c>
      <c r="M68" s="15">
        <v>0</v>
      </c>
      <c r="N68" s="15">
        <v>0</v>
      </c>
      <c r="O68" s="15">
        <v>0</v>
      </c>
      <c r="P68" s="15">
        <v>0</v>
      </c>
      <c r="Q68" s="19">
        <v>41453</v>
      </c>
      <c r="R68" s="19">
        <v>41453</v>
      </c>
    </row>
    <row r="69" spans="1:18">
      <c r="A69" s="16">
        <v>2013</v>
      </c>
      <c r="B69" s="17" t="s">
        <v>449</v>
      </c>
      <c r="C69" s="17" t="s">
        <v>450</v>
      </c>
      <c r="D69" s="18">
        <v>1015042</v>
      </c>
      <c r="E69" s="18">
        <v>2</v>
      </c>
      <c r="F69" s="18"/>
      <c r="G69" s="18">
        <v>180</v>
      </c>
      <c r="H69" s="18" t="s">
        <v>65</v>
      </c>
      <c r="I69" s="18"/>
      <c r="J69" s="18" t="s">
        <v>66</v>
      </c>
      <c r="K69" s="18" t="b">
        <v>0</v>
      </c>
      <c r="L69" s="14">
        <v>2013</v>
      </c>
      <c r="M69" s="15">
        <v>6244.84</v>
      </c>
      <c r="N69" s="15">
        <v>36136.47</v>
      </c>
      <c r="O69" s="15">
        <v>115000</v>
      </c>
      <c r="P69" s="15">
        <v>111439.26</v>
      </c>
      <c r="Q69" s="19">
        <v>41453</v>
      </c>
      <c r="R69" s="19">
        <v>41453</v>
      </c>
    </row>
    <row r="70" spans="1:18">
      <c r="A70" s="16">
        <v>2013</v>
      </c>
      <c r="B70" s="17" t="s">
        <v>449</v>
      </c>
      <c r="C70" s="17" t="s">
        <v>450</v>
      </c>
      <c r="D70" s="18">
        <v>1015042</v>
      </c>
      <c r="E70" s="18">
        <v>2</v>
      </c>
      <c r="F70" s="18"/>
      <c r="G70" s="18">
        <v>30</v>
      </c>
      <c r="H70" s="18" t="s">
        <v>39</v>
      </c>
      <c r="I70" s="18"/>
      <c r="J70" s="18" t="s">
        <v>40</v>
      </c>
      <c r="K70" s="18" t="b">
        <v>1</v>
      </c>
      <c r="L70" s="14">
        <v>2013</v>
      </c>
      <c r="M70" s="15">
        <v>670016</v>
      </c>
      <c r="N70" s="15">
        <v>708940</v>
      </c>
      <c r="O70" s="15">
        <v>812504</v>
      </c>
      <c r="P70" s="15">
        <v>789853</v>
      </c>
      <c r="Q70" s="19">
        <v>41453</v>
      </c>
      <c r="R70" s="19">
        <v>41453</v>
      </c>
    </row>
    <row r="71" spans="1:18">
      <c r="A71" s="16">
        <v>2013</v>
      </c>
      <c r="B71" s="17" t="s">
        <v>449</v>
      </c>
      <c r="C71" s="17" t="s">
        <v>450</v>
      </c>
      <c r="D71" s="18">
        <v>1015042</v>
      </c>
      <c r="E71" s="18">
        <v>2</v>
      </c>
      <c r="F71" s="18"/>
      <c r="G71" s="18">
        <v>710</v>
      </c>
      <c r="H71" s="18" t="s">
        <v>126</v>
      </c>
      <c r="I71" s="18"/>
      <c r="J71" s="18" t="s">
        <v>127</v>
      </c>
      <c r="K71" s="18" t="b">
        <v>0</v>
      </c>
      <c r="L71" s="14">
        <v>2013</v>
      </c>
      <c r="M71" s="15">
        <v>41971.88</v>
      </c>
      <c r="N71" s="15">
        <v>993396</v>
      </c>
      <c r="O71" s="15">
        <v>1696969.57</v>
      </c>
      <c r="P71" s="15">
        <v>1696815.57</v>
      </c>
      <c r="Q71" s="19">
        <v>41453</v>
      </c>
      <c r="R71" s="19">
        <v>41453</v>
      </c>
    </row>
    <row r="72" spans="1:18">
      <c r="A72" s="16">
        <v>2013</v>
      </c>
      <c r="B72" s="17" t="s">
        <v>449</v>
      </c>
      <c r="C72" s="17" t="s">
        <v>450</v>
      </c>
      <c r="D72" s="18">
        <v>1015042</v>
      </c>
      <c r="E72" s="18">
        <v>2</v>
      </c>
      <c r="F72" s="18"/>
      <c r="G72" s="18">
        <v>390</v>
      </c>
      <c r="H72" s="18">
        <v>6.3</v>
      </c>
      <c r="I72" s="18" t="s">
        <v>459</v>
      </c>
      <c r="J72" s="18" t="s">
        <v>89</v>
      </c>
      <c r="K72" s="18" t="b">
        <v>0</v>
      </c>
      <c r="L72" s="14">
        <v>2013</v>
      </c>
      <c r="M72" s="15">
        <v>6.5299999999999997E-2</v>
      </c>
      <c r="N72" s="15">
        <v>0.2084</v>
      </c>
      <c r="O72" s="15">
        <v>0.1336</v>
      </c>
      <c r="P72" s="15">
        <v>0.13550000000000001</v>
      </c>
      <c r="Q72" s="19">
        <v>41453</v>
      </c>
      <c r="R72" s="19">
        <v>41453</v>
      </c>
    </row>
    <row r="73" spans="1:18">
      <c r="A73" s="16">
        <v>2013</v>
      </c>
      <c r="B73" s="17" t="s">
        <v>449</v>
      </c>
      <c r="C73" s="17" t="s">
        <v>450</v>
      </c>
      <c r="D73" s="18">
        <v>1015042</v>
      </c>
      <c r="E73" s="18">
        <v>2</v>
      </c>
      <c r="F73" s="18"/>
      <c r="G73" s="18">
        <v>440</v>
      </c>
      <c r="H73" s="18">
        <v>9</v>
      </c>
      <c r="I73" s="18"/>
      <c r="J73" s="18" t="s">
        <v>175</v>
      </c>
      <c r="K73" s="18" t="b">
        <v>0</v>
      </c>
      <c r="L73" s="14">
        <v>2013</v>
      </c>
      <c r="M73" s="15">
        <v>0</v>
      </c>
      <c r="N73" s="15">
        <v>0</v>
      </c>
      <c r="O73" s="15">
        <v>0</v>
      </c>
      <c r="P73" s="15">
        <v>0</v>
      </c>
      <c r="Q73" s="19">
        <v>41453</v>
      </c>
      <c r="R73" s="19">
        <v>41453</v>
      </c>
    </row>
    <row r="74" spans="1:18">
      <c r="A74" s="16">
        <v>2013</v>
      </c>
      <c r="B74" s="17" t="s">
        <v>449</v>
      </c>
      <c r="C74" s="17" t="s">
        <v>450</v>
      </c>
      <c r="D74" s="18">
        <v>1015042</v>
      </c>
      <c r="E74" s="18">
        <v>2</v>
      </c>
      <c r="F74" s="18"/>
      <c r="G74" s="18">
        <v>840</v>
      </c>
      <c r="H74" s="18">
        <v>13.5</v>
      </c>
      <c r="I74" s="18"/>
      <c r="J74" s="18" t="s">
        <v>145</v>
      </c>
      <c r="K74" s="18" t="b">
        <v>1</v>
      </c>
      <c r="L74" s="14">
        <v>2013</v>
      </c>
      <c r="M74" s="15">
        <v>0</v>
      </c>
      <c r="N74" s="15">
        <v>0</v>
      </c>
      <c r="O74" s="15">
        <v>0</v>
      </c>
      <c r="P74" s="15">
        <v>0</v>
      </c>
      <c r="Q74" s="19">
        <v>41453</v>
      </c>
      <c r="R74" s="19">
        <v>41453</v>
      </c>
    </row>
    <row r="75" spans="1:18">
      <c r="A75" s="16">
        <v>2013</v>
      </c>
      <c r="B75" s="17" t="s">
        <v>449</v>
      </c>
      <c r="C75" s="17" t="s">
        <v>450</v>
      </c>
      <c r="D75" s="18">
        <v>1015042</v>
      </c>
      <c r="E75" s="18">
        <v>2</v>
      </c>
      <c r="F75" s="18"/>
      <c r="G75" s="18">
        <v>590</v>
      </c>
      <c r="H75" s="18">
        <v>11.2</v>
      </c>
      <c r="I75" s="18"/>
      <c r="J75" s="18" t="s">
        <v>110</v>
      </c>
      <c r="K75" s="18" t="b">
        <v>1</v>
      </c>
      <c r="L75" s="14">
        <v>2013</v>
      </c>
      <c r="M75" s="15">
        <v>866273.04</v>
      </c>
      <c r="N75" s="15">
        <v>983673.41</v>
      </c>
      <c r="O75" s="15">
        <v>1070340</v>
      </c>
      <c r="P75" s="15">
        <v>1059626.03</v>
      </c>
      <c r="Q75" s="19">
        <v>41453</v>
      </c>
      <c r="R75" s="19">
        <v>41453</v>
      </c>
    </row>
    <row r="76" spans="1:18">
      <c r="A76" s="16">
        <v>2013</v>
      </c>
      <c r="B76" s="17" t="s">
        <v>449</v>
      </c>
      <c r="C76" s="17" t="s">
        <v>450</v>
      </c>
      <c r="D76" s="18">
        <v>1015042</v>
      </c>
      <c r="E76" s="18">
        <v>2</v>
      </c>
      <c r="F76" s="18"/>
      <c r="G76" s="18">
        <v>700</v>
      </c>
      <c r="H76" s="18">
        <v>12.2</v>
      </c>
      <c r="I76" s="18"/>
      <c r="J76" s="18" t="s">
        <v>125</v>
      </c>
      <c r="K76" s="18" t="b">
        <v>0</v>
      </c>
      <c r="L76" s="14">
        <v>2013</v>
      </c>
      <c r="M76" s="15">
        <v>122302.88</v>
      </c>
      <c r="N76" s="15">
        <v>993396</v>
      </c>
      <c r="O76" s="15">
        <v>1913397.57</v>
      </c>
      <c r="P76" s="15">
        <v>1913243.57</v>
      </c>
      <c r="Q76" s="19">
        <v>41453</v>
      </c>
      <c r="R76" s="19">
        <v>41453</v>
      </c>
    </row>
    <row r="77" spans="1:18">
      <c r="A77" s="16">
        <v>2013</v>
      </c>
      <c r="B77" s="17" t="s">
        <v>449</v>
      </c>
      <c r="C77" s="17" t="s">
        <v>450</v>
      </c>
      <c r="D77" s="18">
        <v>1015042</v>
      </c>
      <c r="E77" s="18">
        <v>2</v>
      </c>
      <c r="F77" s="18"/>
      <c r="G77" s="18">
        <v>500</v>
      </c>
      <c r="H77" s="18">
        <v>9.6</v>
      </c>
      <c r="I77" s="18" t="s">
        <v>465</v>
      </c>
      <c r="J77" s="18" t="s">
        <v>97</v>
      </c>
      <c r="K77" s="18" t="b">
        <v>0</v>
      </c>
      <c r="L77" s="14">
        <v>2013</v>
      </c>
      <c r="M77" s="15">
        <v>6.1000000000000004E-3</v>
      </c>
      <c r="N77" s="15">
        <v>1.34E-2</v>
      </c>
      <c r="O77" s="15">
        <v>7.3700000000000002E-2</v>
      </c>
      <c r="P77" s="15">
        <v>7.4300000000000005E-2</v>
      </c>
      <c r="Q77" s="19">
        <v>41453</v>
      </c>
      <c r="R77" s="19">
        <v>41453</v>
      </c>
    </row>
    <row r="78" spans="1:18">
      <c r="A78" s="16">
        <v>2013</v>
      </c>
      <c r="B78" s="17" t="s">
        <v>449</v>
      </c>
      <c r="C78" s="17" t="s">
        <v>450</v>
      </c>
      <c r="D78" s="18">
        <v>1015042</v>
      </c>
      <c r="E78" s="18">
        <v>2</v>
      </c>
      <c r="F78" s="18"/>
      <c r="G78" s="18">
        <v>620</v>
      </c>
      <c r="H78" s="18" t="s">
        <v>114</v>
      </c>
      <c r="I78" s="18"/>
      <c r="J78" s="18" t="s">
        <v>115</v>
      </c>
      <c r="K78" s="18" t="b">
        <v>1</v>
      </c>
      <c r="L78" s="14">
        <v>2013</v>
      </c>
      <c r="M78" s="15">
        <v>0</v>
      </c>
      <c r="N78" s="15">
        <v>0</v>
      </c>
      <c r="O78" s="15">
        <v>0</v>
      </c>
      <c r="P78" s="15">
        <v>0</v>
      </c>
      <c r="Q78" s="19">
        <v>41453</v>
      </c>
      <c r="R78" s="19">
        <v>41453</v>
      </c>
    </row>
    <row r="79" spans="1:18">
      <c r="A79" s="16">
        <v>2013</v>
      </c>
      <c r="B79" s="17" t="s">
        <v>449</v>
      </c>
      <c r="C79" s="17" t="s">
        <v>450</v>
      </c>
      <c r="D79" s="18">
        <v>1015042</v>
      </c>
      <c r="E79" s="18">
        <v>2</v>
      </c>
      <c r="F79" s="18"/>
      <c r="G79" s="18">
        <v>250</v>
      </c>
      <c r="H79" s="18" t="s">
        <v>72</v>
      </c>
      <c r="I79" s="18"/>
      <c r="J79" s="18" t="s">
        <v>73</v>
      </c>
      <c r="K79" s="18" t="b">
        <v>0</v>
      </c>
      <c r="L79" s="14">
        <v>2013</v>
      </c>
      <c r="M79" s="15">
        <v>0</v>
      </c>
      <c r="N79" s="15">
        <v>53430.48</v>
      </c>
      <c r="O79" s="15">
        <v>0</v>
      </c>
      <c r="P79" s="15">
        <v>0</v>
      </c>
      <c r="Q79" s="19">
        <v>41453</v>
      </c>
      <c r="R79" s="19">
        <v>41453</v>
      </c>
    </row>
    <row r="80" spans="1:18">
      <c r="A80" s="16">
        <v>2013</v>
      </c>
      <c r="B80" s="17" t="s">
        <v>449</v>
      </c>
      <c r="C80" s="17" t="s">
        <v>450</v>
      </c>
      <c r="D80" s="18">
        <v>1015042</v>
      </c>
      <c r="E80" s="18">
        <v>2</v>
      </c>
      <c r="F80" s="18"/>
      <c r="G80" s="18">
        <v>510</v>
      </c>
      <c r="H80" s="18">
        <v>9.6999999999999993</v>
      </c>
      <c r="I80" s="18"/>
      <c r="J80" s="18" t="s">
        <v>467</v>
      </c>
      <c r="K80" s="18" t="b">
        <v>1</v>
      </c>
      <c r="L80" s="14">
        <v>2013</v>
      </c>
      <c r="M80" s="15">
        <v>0</v>
      </c>
      <c r="N80" s="15">
        <v>0</v>
      </c>
      <c r="O80" s="15">
        <v>0</v>
      </c>
      <c r="P80" s="15">
        <v>0</v>
      </c>
      <c r="Q80" s="19">
        <v>41453</v>
      </c>
      <c r="R80" s="19">
        <v>41453</v>
      </c>
    </row>
    <row r="81" spans="1:18">
      <c r="A81" s="16">
        <v>2013</v>
      </c>
      <c r="B81" s="17" t="s">
        <v>449</v>
      </c>
      <c r="C81" s="17" t="s">
        <v>450</v>
      </c>
      <c r="D81" s="18">
        <v>1015042</v>
      </c>
      <c r="E81" s="18">
        <v>2</v>
      </c>
      <c r="F81" s="18"/>
      <c r="G81" s="18">
        <v>470</v>
      </c>
      <c r="H81" s="18">
        <v>9.3000000000000007</v>
      </c>
      <c r="I81" s="18" t="s">
        <v>453</v>
      </c>
      <c r="J81" s="18" t="s">
        <v>454</v>
      </c>
      <c r="K81" s="18" t="b">
        <v>1</v>
      </c>
      <c r="L81" s="14">
        <v>2013</v>
      </c>
      <c r="M81" s="15">
        <v>6.1000000000000004E-3</v>
      </c>
      <c r="N81" s="15">
        <v>0.1076</v>
      </c>
      <c r="O81" s="15">
        <v>0.1033</v>
      </c>
      <c r="P81" s="15">
        <v>0.1043</v>
      </c>
      <c r="Q81" s="19">
        <v>41453</v>
      </c>
      <c r="R81" s="19">
        <v>41453</v>
      </c>
    </row>
    <row r="82" spans="1:18">
      <c r="A82" s="16">
        <v>2013</v>
      </c>
      <c r="B82" s="17" t="s">
        <v>449</v>
      </c>
      <c r="C82" s="17" t="s">
        <v>450</v>
      </c>
      <c r="D82" s="18">
        <v>1015042</v>
      </c>
      <c r="E82" s="18">
        <v>2</v>
      </c>
      <c r="F82" s="18"/>
      <c r="G82" s="18">
        <v>940</v>
      </c>
      <c r="H82" s="18">
        <v>14.4</v>
      </c>
      <c r="I82" s="18"/>
      <c r="J82" s="18" t="s">
        <v>158</v>
      </c>
      <c r="K82" s="18" t="b">
        <v>1</v>
      </c>
      <c r="L82" s="14">
        <v>2013</v>
      </c>
      <c r="M82" s="15">
        <v>0</v>
      </c>
      <c r="N82" s="15">
        <v>0</v>
      </c>
      <c r="O82" s="15">
        <v>0</v>
      </c>
      <c r="P82" s="15">
        <v>0</v>
      </c>
      <c r="Q82" s="19">
        <v>41453</v>
      </c>
      <c r="R82" s="19">
        <v>41453</v>
      </c>
    </row>
    <row r="83" spans="1:18">
      <c r="A83" s="16">
        <v>2013</v>
      </c>
      <c r="B83" s="17" t="s">
        <v>449</v>
      </c>
      <c r="C83" s="17" t="s">
        <v>450</v>
      </c>
      <c r="D83" s="18">
        <v>1015042</v>
      </c>
      <c r="E83" s="18">
        <v>2</v>
      </c>
      <c r="F83" s="18"/>
      <c r="G83" s="18">
        <v>80</v>
      </c>
      <c r="H83" s="18" t="s">
        <v>49</v>
      </c>
      <c r="I83" s="18"/>
      <c r="J83" s="18" t="s">
        <v>50</v>
      </c>
      <c r="K83" s="18" t="b">
        <v>1</v>
      </c>
      <c r="L83" s="14">
        <v>2013</v>
      </c>
      <c r="M83" s="15">
        <v>1600573.39</v>
      </c>
      <c r="N83" s="15">
        <v>1842687.7</v>
      </c>
      <c r="O83" s="15">
        <v>1274443.53</v>
      </c>
      <c r="P83" s="15">
        <v>1375126</v>
      </c>
      <c r="Q83" s="19">
        <v>41453</v>
      </c>
      <c r="R83" s="19">
        <v>41453</v>
      </c>
    </row>
    <row r="84" spans="1:18">
      <c r="A84" s="16">
        <v>2013</v>
      </c>
      <c r="B84" s="17" t="s">
        <v>449</v>
      </c>
      <c r="C84" s="17" t="s">
        <v>450</v>
      </c>
      <c r="D84" s="18">
        <v>1015042</v>
      </c>
      <c r="E84" s="18">
        <v>2</v>
      </c>
      <c r="F84" s="18"/>
      <c r="G84" s="18">
        <v>860</v>
      </c>
      <c r="H84" s="18">
        <v>13.7</v>
      </c>
      <c r="I84" s="18"/>
      <c r="J84" s="18" t="s">
        <v>147</v>
      </c>
      <c r="K84" s="18" t="b">
        <v>1</v>
      </c>
      <c r="L84" s="14">
        <v>2013</v>
      </c>
      <c r="M84" s="15">
        <v>0</v>
      </c>
      <c r="N84" s="15">
        <v>0</v>
      </c>
      <c r="O84" s="15">
        <v>0</v>
      </c>
      <c r="P84" s="15">
        <v>0</v>
      </c>
      <c r="Q84" s="19">
        <v>41453</v>
      </c>
      <c r="R84" s="19">
        <v>41453</v>
      </c>
    </row>
    <row r="85" spans="1:18">
      <c r="A85" s="16">
        <v>2013</v>
      </c>
      <c r="B85" s="17" t="s">
        <v>449</v>
      </c>
      <c r="C85" s="17" t="s">
        <v>450</v>
      </c>
      <c r="D85" s="18">
        <v>1015042</v>
      </c>
      <c r="E85" s="18">
        <v>2</v>
      </c>
      <c r="F85" s="18"/>
      <c r="G85" s="18">
        <v>580</v>
      </c>
      <c r="H85" s="18">
        <v>11.1</v>
      </c>
      <c r="I85" s="18"/>
      <c r="J85" s="18" t="s">
        <v>109</v>
      </c>
      <c r="K85" s="18" t="b">
        <v>0</v>
      </c>
      <c r="L85" s="14">
        <v>2013</v>
      </c>
      <c r="M85" s="15">
        <v>2816253.76</v>
      </c>
      <c r="N85" s="15">
        <v>2993214.77</v>
      </c>
      <c r="O85" s="15">
        <v>3133478.6</v>
      </c>
      <c r="P85" s="15">
        <v>3090382.07</v>
      </c>
      <c r="Q85" s="19">
        <v>41453</v>
      </c>
      <c r="R85" s="19">
        <v>41453</v>
      </c>
    </row>
    <row r="86" spans="1:18">
      <c r="A86" s="16">
        <v>2013</v>
      </c>
      <c r="B86" s="17" t="s">
        <v>449</v>
      </c>
      <c r="C86" s="17" t="s">
        <v>450</v>
      </c>
      <c r="D86" s="18">
        <v>1015042</v>
      </c>
      <c r="E86" s="18">
        <v>2</v>
      </c>
      <c r="F86" s="18"/>
      <c r="G86" s="18">
        <v>210</v>
      </c>
      <c r="H86" s="18">
        <v>4</v>
      </c>
      <c r="I86" s="18" t="s">
        <v>468</v>
      </c>
      <c r="J86" s="18" t="s">
        <v>22</v>
      </c>
      <c r="K86" s="18" t="b">
        <v>0</v>
      </c>
      <c r="L86" s="14">
        <v>2013</v>
      </c>
      <c r="M86" s="15">
        <v>2903910.76</v>
      </c>
      <c r="N86" s="15">
        <v>2377720.4</v>
      </c>
      <c r="O86" s="15">
        <v>261500</v>
      </c>
      <c r="P86" s="15">
        <v>268964.28000000003</v>
      </c>
      <c r="Q86" s="19">
        <v>41453</v>
      </c>
      <c r="R86" s="19">
        <v>41453</v>
      </c>
    </row>
    <row r="87" spans="1:18">
      <c r="A87" s="16">
        <v>2013</v>
      </c>
      <c r="B87" s="17" t="s">
        <v>449</v>
      </c>
      <c r="C87" s="17" t="s">
        <v>450</v>
      </c>
      <c r="D87" s="18">
        <v>1015042</v>
      </c>
      <c r="E87" s="18">
        <v>2</v>
      </c>
      <c r="F87" s="18"/>
      <c r="G87" s="18">
        <v>650</v>
      </c>
      <c r="H87" s="18">
        <v>11.6</v>
      </c>
      <c r="I87" s="18"/>
      <c r="J87" s="18" t="s">
        <v>118</v>
      </c>
      <c r="K87" s="18" t="b">
        <v>1</v>
      </c>
      <c r="L87" s="14">
        <v>2013</v>
      </c>
      <c r="M87" s="15">
        <v>19211.169999999998</v>
      </c>
      <c r="N87" s="15">
        <v>11521.31</v>
      </c>
      <c r="O87" s="15">
        <v>8154</v>
      </c>
      <c r="P87" s="15">
        <v>13360</v>
      </c>
      <c r="Q87" s="19">
        <v>41453</v>
      </c>
      <c r="R87" s="19">
        <v>41453</v>
      </c>
    </row>
    <row r="88" spans="1:18">
      <c r="A88" s="16">
        <v>2013</v>
      </c>
      <c r="B88" s="17" t="s">
        <v>449</v>
      </c>
      <c r="C88" s="17" t="s">
        <v>450</v>
      </c>
      <c r="D88" s="18">
        <v>1015042</v>
      </c>
      <c r="E88" s="18">
        <v>2</v>
      </c>
      <c r="F88" s="18"/>
      <c r="G88" s="18">
        <v>280</v>
      </c>
      <c r="H88" s="18">
        <v>4.4000000000000004</v>
      </c>
      <c r="I88" s="18"/>
      <c r="J88" s="18" t="s">
        <v>76</v>
      </c>
      <c r="K88" s="18" t="b">
        <v>0</v>
      </c>
      <c r="L88" s="14">
        <v>2013</v>
      </c>
      <c r="M88" s="15">
        <v>0</v>
      </c>
      <c r="N88" s="15">
        <v>0</v>
      </c>
      <c r="O88" s="15">
        <v>0</v>
      </c>
      <c r="P88" s="15">
        <v>0</v>
      </c>
      <c r="Q88" s="19">
        <v>41453</v>
      </c>
      <c r="R88" s="19">
        <v>41453</v>
      </c>
    </row>
    <row r="89" spans="1:18">
      <c r="A89" s="16">
        <v>2013</v>
      </c>
      <c r="B89" s="17" t="s">
        <v>449</v>
      </c>
      <c r="C89" s="17" t="s">
        <v>450</v>
      </c>
      <c r="D89" s="18">
        <v>1015042</v>
      </c>
      <c r="E89" s="18">
        <v>2</v>
      </c>
      <c r="F89" s="18"/>
      <c r="G89" s="18">
        <v>340</v>
      </c>
      <c r="H89" s="18">
        <v>5.2</v>
      </c>
      <c r="I89" s="18"/>
      <c r="J89" s="18" t="s">
        <v>84</v>
      </c>
      <c r="K89" s="18" t="b">
        <v>0</v>
      </c>
      <c r="L89" s="14">
        <v>2013</v>
      </c>
      <c r="M89" s="15">
        <v>0</v>
      </c>
      <c r="N89" s="15">
        <v>0</v>
      </c>
      <c r="O89" s="15">
        <v>0</v>
      </c>
      <c r="P89" s="15">
        <v>0</v>
      </c>
      <c r="Q89" s="19">
        <v>41453</v>
      </c>
      <c r="R89" s="19">
        <v>41453</v>
      </c>
    </row>
    <row r="90" spans="1:18">
      <c r="A90" s="16">
        <v>2013</v>
      </c>
      <c r="B90" s="17" t="s">
        <v>449</v>
      </c>
      <c r="C90" s="17" t="s">
        <v>450</v>
      </c>
      <c r="D90" s="18">
        <v>1015042</v>
      </c>
      <c r="E90" s="18">
        <v>2</v>
      </c>
      <c r="F90" s="18"/>
      <c r="G90" s="18">
        <v>240</v>
      </c>
      <c r="H90" s="18">
        <v>4.2</v>
      </c>
      <c r="I90" s="18"/>
      <c r="J90" s="18" t="s">
        <v>71</v>
      </c>
      <c r="K90" s="18" t="b">
        <v>0</v>
      </c>
      <c r="L90" s="14">
        <v>2013</v>
      </c>
      <c r="M90" s="15">
        <v>157404.1</v>
      </c>
      <c r="N90" s="15">
        <v>627720.4</v>
      </c>
      <c r="O90" s="15">
        <v>261500</v>
      </c>
      <c r="P90" s="15">
        <v>268964.28000000003</v>
      </c>
      <c r="Q90" s="19">
        <v>41453</v>
      </c>
      <c r="R90" s="19">
        <v>41453</v>
      </c>
    </row>
    <row r="91" spans="1:18">
      <c r="A91" s="16">
        <v>2013</v>
      </c>
      <c r="B91" s="17" t="s">
        <v>449</v>
      </c>
      <c r="C91" s="17" t="s">
        <v>450</v>
      </c>
      <c r="D91" s="18">
        <v>1015042</v>
      </c>
      <c r="E91" s="18">
        <v>2</v>
      </c>
      <c r="F91" s="18"/>
      <c r="G91" s="18">
        <v>190</v>
      </c>
      <c r="H91" s="18">
        <v>2.2000000000000002</v>
      </c>
      <c r="I91" s="18"/>
      <c r="J91" s="18" t="s">
        <v>67</v>
      </c>
      <c r="K91" s="18" t="b">
        <v>0</v>
      </c>
      <c r="L91" s="14">
        <v>2013</v>
      </c>
      <c r="M91" s="15">
        <v>3395221.8</v>
      </c>
      <c r="N91" s="15">
        <v>3567032.3</v>
      </c>
      <c r="O91" s="15">
        <v>2437669</v>
      </c>
      <c r="P91" s="15">
        <v>2135695.2200000002</v>
      </c>
      <c r="Q91" s="19">
        <v>41453</v>
      </c>
      <c r="R91" s="19">
        <v>41453</v>
      </c>
    </row>
    <row r="92" spans="1:18">
      <c r="A92" s="16">
        <v>2013</v>
      </c>
      <c r="B92" s="17" t="s">
        <v>449</v>
      </c>
      <c r="C92" s="17" t="s">
        <v>450</v>
      </c>
      <c r="D92" s="18">
        <v>1015042</v>
      </c>
      <c r="E92" s="18">
        <v>2</v>
      </c>
      <c r="F92" s="18"/>
      <c r="G92" s="18">
        <v>170</v>
      </c>
      <c r="H92" s="18" t="s">
        <v>63</v>
      </c>
      <c r="I92" s="18"/>
      <c r="J92" s="18" t="s">
        <v>64</v>
      </c>
      <c r="K92" s="18" t="b">
        <v>1</v>
      </c>
      <c r="L92" s="14">
        <v>2013</v>
      </c>
      <c r="M92" s="15">
        <v>6244.84</v>
      </c>
      <c r="N92" s="15">
        <v>36136.47</v>
      </c>
      <c r="O92" s="15">
        <v>115000</v>
      </c>
      <c r="P92" s="15">
        <v>111439.26</v>
      </c>
      <c r="Q92" s="19">
        <v>41453</v>
      </c>
      <c r="R92" s="19">
        <v>41453</v>
      </c>
    </row>
    <row r="93" spans="1:18">
      <c r="A93" s="16">
        <v>2013</v>
      </c>
      <c r="B93" s="17" t="s">
        <v>449</v>
      </c>
      <c r="C93" s="17" t="s">
        <v>450</v>
      </c>
      <c r="D93" s="18">
        <v>1015042</v>
      </c>
      <c r="E93" s="18">
        <v>2</v>
      </c>
      <c r="F93" s="18"/>
      <c r="G93" s="18">
        <v>540</v>
      </c>
      <c r="H93" s="18" t="s">
        <v>104</v>
      </c>
      <c r="I93" s="18" t="s">
        <v>452</v>
      </c>
      <c r="J93" s="18" t="s">
        <v>105</v>
      </c>
      <c r="K93" s="18" t="b">
        <v>0</v>
      </c>
      <c r="L93" s="14">
        <v>2013</v>
      </c>
      <c r="M93" s="15">
        <v>6.1000000000000004E-3</v>
      </c>
      <c r="N93" s="15">
        <v>1.34E-2</v>
      </c>
      <c r="O93" s="15">
        <v>7.3700000000000002E-2</v>
      </c>
      <c r="P93" s="15">
        <v>7.4300000000000005E-2</v>
      </c>
      <c r="Q93" s="19">
        <v>41453</v>
      </c>
      <c r="R93" s="19">
        <v>41453</v>
      </c>
    </row>
    <row r="94" spans="1:18">
      <c r="A94" s="16">
        <v>2013</v>
      </c>
      <c r="B94" s="17" t="s">
        <v>449</v>
      </c>
      <c r="C94" s="17" t="s">
        <v>450</v>
      </c>
      <c r="D94" s="18">
        <v>1015042</v>
      </c>
      <c r="E94" s="18">
        <v>2</v>
      </c>
      <c r="F94" s="18"/>
      <c r="G94" s="18">
        <v>100</v>
      </c>
      <c r="H94" s="18" t="s">
        <v>52</v>
      </c>
      <c r="I94" s="18"/>
      <c r="J94" s="18" t="s">
        <v>53</v>
      </c>
      <c r="K94" s="18" t="b">
        <v>1</v>
      </c>
      <c r="L94" s="14">
        <v>2013</v>
      </c>
      <c r="M94" s="15">
        <v>106785</v>
      </c>
      <c r="N94" s="15">
        <v>157835</v>
      </c>
      <c r="O94" s="15">
        <v>154200</v>
      </c>
      <c r="P94" s="15">
        <v>15320.88</v>
      </c>
      <c r="Q94" s="19">
        <v>41453</v>
      </c>
      <c r="R94" s="19">
        <v>41453</v>
      </c>
    </row>
    <row r="95" spans="1:18">
      <c r="A95" s="16">
        <v>2013</v>
      </c>
      <c r="B95" s="17" t="s">
        <v>449</v>
      </c>
      <c r="C95" s="17" t="s">
        <v>450</v>
      </c>
      <c r="D95" s="18">
        <v>1015042</v>
      </c>
      <c r="E95" s="18">
        <v>2</v>
      </c>
      <c r="F95" s="18"/>
      <c r="G95" s="18">
        <v>890</v>
      </c>
      <c r="H95" s="18">
        <v>14.2</v>
      </c>
      <c r="I95" s="18"/>
      <c r="J95" s="18" t="s">
        <v>150</v>
      </c>
      <c r="K95" s="18" t="b">
        <v>1</v>
      </c>
      <c r="L95" s="14">
        <v>2013</v>
      </c>
      <c r="M95" s="15">
        <v>0</v>
      </c>
      <c r="N95" s="15">
        <v>0</v>
      </c>
      <c r="O95" s="15">
        <v>0</v>
      </c>
      <c r="P95" s="15">
        <v>0</v>
      </c>
      <c r="Q95" s="19">
        <v>41453</v>
      </c>
      <c r="R95" s="19">
        <v>41453</v>
      </c>
    </row>
    <row r="96" spans="1:18">
      <c r="A96" s="16">
        <v>2013</v>
      </c>
      <c r="B96" s="17" t="s">
        <v>449</v>
      </c>
      <c r="C96" s="17" t="s">
        <v>450</v>
      </c>
      <c r="D96" s="18">
        <v>1015042</v>
      </c>
      <c r="E96" s="18">
        <v>2</v>
      </c>
      <c r="F96" s="18"/>
      <c r="G96" s="18">
        <v>720</v>
      </c>
      <c r="H96" s="18" t="s">
        <v>128</v>
      </c>
      <c r="I96" s="18"/>
      <c r="J96" s="18" t="s">
        <v>129</v>
      </c>
      <c r="K96" s="18" t="b">
        <v>0</v>
      </c>
      <c r="L96" s="14">
        <v>2013</v>
      </c>
      <c r="M96" s="15">
        <v>41971.88</v>
      </c>
      <c r="N96" s="15">
        <v>993396</v>
      </c>
      <c r="O96" s="15">
        <v>1696696.57</v>
      </c>
      <c r="P96" s="15">
        <v>1696815.57</v>
      </c>
      <c r="Q96" s="19">
        <v>41453</v>
      </c>
      <c r="R96" s="19">
        <v>41453</v>
      </c>
    </row>
    <row r="97" spans="1:18">
      <c r="A97" s="16">
        <v>2013</v>
      </c>
      <c r="B97" s="17" t="s">
        <v>449</v>
      </c>
      <c r="C97" s="17" t="s">
        <v>450</v>
      </c>
      <c r="D97" s="18">
        <v>1015042</v>
      </c>
      <c r="E97" s="18">
        <v>2</v>
      </c>
      <c r="F97" s="18"/>
      <c r="G97" s="18">
        <v>430</v>
      </c>
      <c r="H97" s="18">
        <v>8.1999999999999993</v>
      </c>
      <c r="I97" s="18" t="s">
        <v>462</v>
      </c>
      <c r="J97" s="18" t="s">
        <v>92</v>
      </c>
      <c r="K97" s="18" t="b">
        <v>0</v>
      </c>
      <c r="L97" s="14">
        <v>2013</v>
      </c>
      <c r="M97" s="15">
        <v>2105663.85</v>
      </c>
      <c r="N97" s="15">
        <v>1086933.92</v>
      </c>
      <c r="O97" s="15">
        <v>1171583.74</v>
      </c>
      <c r="P97" s="15">
        <v>1419987.38</v>
      </c>
      <c r="Q97" s="19">
        <v>41453</v>
      </c>
      <c r="R97" s="19">
        <v>41453</v>
      </c>
    </row>
    <row r="98" spans="1:18">
      <c r="A98" s="16">
        <v>2013</v>
      </c>
      <c r="B98" s="17" t="s">
        <v>449</v>
      </c>
      <c r="C98" s="17" t="s">
        <v>450</v>
      </c>
      <c r="D98" s="18">
        <v>1015042</v>
      </c>
      <c r="E98" s="18">
        <v>2</v>
      </c>
      <c r="F98" s="18"/>
      <c r="G98" s="18">
        <v>930</v>
      </c>
      <c r="H98" s="18" t="s">
        <v>156</v>
      </c>
      <c r="I98" s="18"/>
      <c r="J98" s="18" t="s">
        <v>157</v>
      </c>
      <c r="K98" s="18" t="b">
        <v>1</v>
      </c>
      <c r="L98" s="14">
        <v>2013</v>
      </c>
      <c r="M98" s="15">
        <v>0</v>
      </c>
      <c r="N98" s="15">
        <v>0</v>
      </c>
      <c r="O98" s="15">
        <v>0</v>
      </c>
      <c r="P98" s="15">
        <v>0</v>
      </c>
      <c r="Q98" s="19">
        <v>41453</v>
      </c>
      <c r="R98" s="19">
        <v>41453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Zał.1_WPF_bazowy</vt:lpstr>
      <vt:lpstr>iNFORMACJA O KSZTAŁT. WPF</vt:lpstr>
      <vt:lpstr>definicja</vt:lpstr>
      <vt:lpstr>DaneZrodlowe</vt:lpstr>
      <vt:lpstr>DaneZrodloweDoWsk</vt:lpstr>
      <vt:lpstr>Zał.1_WPF_bazowy!Obszar_wydruku</vt:lpstr>
      <vt:lpstr>'iNFORMACJA O KSZTAŁT. WPF'!Tytuły_wydruku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Heleniak Beata</cp:lastModifiedBy>
  <cp:lastPrinted>2013-08-28T07:06:55Z</cp:lastPrinted>
  <dcterms:created xsi:type="dcterms:W3CDTF">2010-09-17T02:30:46Z</dcterms:created>
  <dcterms:modified xsi:type="dcterms:W3CDTF">2013-08-28T07:07:02Z</dcterms:modified>
</cp:coreProperties>
</file>